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gallo_frank_dol_gov/Documents/Frank's H Drive/My Documents/Frank Gallo/Wealth/"/>
    </mc:Choice>
  </mc:AlternateContent>
  <xr:revisionPtr revIDLastSave="30" documentId="8_{C8B372D7-CDEC-4DEE-8C99-A5A4CA777BDC}" xr6:coauthVersionLast="47" xr6:coauthVersionMax="47" xr10:uidLastSave="{E51BE406-420D-46F3-AFDC-875FB0A2B347}"/>
  <bookViews>
    <workbookView xWindow="28680" yWindow="210" windowWidth="25440" windowHeight="15270" tabRatio="230" xr2:uid="{4B47EE4E-4F58-4809-A462-91BE73CDC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28" i="1" l="1"/>
  <c r="AX128" i="1" s="1"/>
  <c r="AY128" i="1"/>
  <c r="AF128" i="1"/>
  <c r="AZ128" i="1"/>
  <c r="K128" i="1"/>
  <c r="AC128" i="1"/>
  <c r="I128" i="1"/>
  <c r="AA128" i="1"/>
  <c r="J128" i="1"/>
  <c r="AB128" i="1"/>
  <c r="AK128" i="1"/>
  <c r="AM128" i="1"/>
  <c r="AL128" i="1"/>
  <c r="AI128" i="1"/>
  <c r="AH128" i="1"/>
  <c r="AJ128" i="1"/>
  <c r="AG128" i="1"/>
  <c r="Z128" i="1"/>
  <c r="AD128" i="1"/>
  <c r="AO128" i="1"/>
  <c r="Y128" i="1"/>
  <c r="X128" i="1"/>
  <c r="W128" i="1"/>
  <c r="AO127" i="1"/>
  <c r="K77" i="1"/>
  <c r="I77" i="1"/>
  <c r="AQ128" i="1" l="1"/>
  <c r="AP128" i="1"/>
  <c r="AX86" i="1"/>
  <c r="AY86" i="1"/>
  <c r="AZ86" i="1"/>
  <c r="AO86" i="1"/>
  <c r="AP86" i="1"/>
  <c r="AQ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M86" i="1"/>
  <c r="W86" i="1"/>
  <c r="W85" i="1"/>
  <c r="K86" i="1"/>
  <c r="J86" i="1"/>
  <c r="I86" i="1"/>
  <c r="K85" i="1"/>
  <c r="I85" i="1"/>
  <c r="K87" i="1"/>
  <c r="I87" i="1"/>
  <c r="AY87" i="1" l="1"/>
  <c r="AX87" i="1"/>
  <c r="AO85" i="1"/>
  <c r="X85" i="1"/>
  <c r="Y85" i="1"/>
  <c r="Z85" i="1"/>
  <c r="AA85" i="1"/>
  <c r="AC85" i="1"/>
  <c r="AD85" i="1"/>
  <c r="AE85" i="1"/>
  <c r="AF85" i="1"/>
  <c r="AG85" i="1"/>
  <c r="AH85" i="1"/>
  <c r="AI85" i="1"/>
  <c r="AJ85" i="1"/>
  <c r="AK85" i="1"/>
  <c r="AL85" i="1"/>
  <c r="AM85" i="1"/>
  <c r="J85" i="1"/>
  <c r="AB85" i="1" s="1"/>
  <c r="AX85" i="1" l="1"/>
  <c r="AY85" i="1"/>
  <c r="AP85" i="1"/>
  <c r="AQ85" i="1"/>
  <c r="AZ85" i="1"/>
  <c r="AO87" i="1"/>
  <c r="AO77" i="1"/>
  <c r="X77" i="1"/>
  <c r="Y77" i="1"/>
  <c r="Z77" i="1"/>
  <c r="AA77" i="1"/>
  <c r="AC77" i="1"/>
  <c r="AD77" i="1"/>
  <c r="AE77" i="1"/>
  <c r="AX77" i="1" s="1"/>
  <c r="AF77" i="1"/>
  <c r="AG77" i="1"/>
  <c r="AH77" i="1"/>
  <c r="AI77" i="1"/>
  <c r="AJ77" i="1"/>
  <c r="AK77" i="1"/>
  <c r="AY77" i="1" s="1"/>
  <c r="AL77" i="1"/>
  <c r="AM77" i="1"/>
  <c r="X87" i="1"/>
  <c r="Y87" i="1"/>
  <c r="Z87" i="1"/>
  <c r="AA87" i="1"/>
  <c r="AC87" i="1"/>
  <c r="AD87" i="1"/>
  <c r="AE87" i="1"/>
  <c r="AF87" i="1"/>
  <c r="AG87" i="1"/>
  <c r="AH87" i="1"/>
  <c r="AI87" i="1"/>
  <c r="AJ87" i="1"/>
  <c r="AK87" i="1"/>
  <c r="AL87" i="1"/>
  <c r="AM87" i="1"/>
  <c r="W87" i="1"/>
  <c r="W77" i="1"/>
  <c r="J87" i="1"/>
  <c r="AB87" i="1" s="1"/>
  <c r="J77" i="1"/>
  <c r="AB77" i="1" s="1"/>
  <c r="AZ77" i="1" l="1"/>
  <c r="AZ87" i="1"/>
  <c r="AQ87" i="1"/>
  <c r="AP87" i="1"/>
  <c r="AP77" i="1"/>
  <c r="AQ77" i="1"/>
  <c r="AO138" i="1" l="1"/>
  <c r="X138" i="1"/>
  <c r="Y138" i="1"/>
  <c r="Z138" i="1"/>
  <c r="AA138" i="1"/>
  <c r="AC138" i="1"/>
  <c r="AD138" i="1"/>
  <c r="AE138" i="1"/>
  <c r="AF138" i="1"/>
  <c r="AG138" i="1"/>
  <c r="AH138" i="1"/>
  <c r="AI138" i="1"/>
  <c r="AJ138" i="1"/>
  <c r="AK138" i="1"/>
  <c r="AL138" i="1"/>
  <c r="AM138" i="1"/>
  <c r="W138" i="1"/>
  <c r="J138" i="1"/>
  <c r="AB138" i="1" s="1"/>
  <c r="AP138" i="1" s="1"/>
  <c r="AB198" i="1"/>
  <c r="AA198" i="1"/>
  <c r="Z198" i="1"/>
  <c r="AB197" i="1"/>
  <c r="AA197" i="1"/>
  <c r="Z197" i="1"/>
  <c r="AB187" i="1"/>
  <c r="AA187" i="1"/>
  <c r="Z187" i="1"/>
  <c r="AB185" i="1"/>
  <c r="AA185" i="1"/>
  <c r="Z185" i="1"/>
  <c r="AB184" i="1"/>
  <c r="AA184" i="1"/>
  <c r="Z184" i="1"/>
  <c r="S183" i="1"/>
  <c r="I90" i="1" l="1"/>
  <c r="AA90" i="1" s="1"/>
  <c r="I91" i="1"/>
  <c r="AA91" i="1" s="1"/>
  <c r="I92" i="1"/>
  <c r="AA92" i="1" s="1"/>
  <c r="I93" i="1"/>
  <c r="AA93" i="1" s="1"/>
  <c r="I94" i="1"/>
  <c r="AA94" i="1" s="1"/>
  <c r="I95" i="1"/>
  <c r="AA95" i="1" s="1"/>
  <c r="I96" i="1"/>
  <c r="AA96" i="1" s="1"/>
  <c r="I97" i="1"/>
  <c r="AA97" i="1" s="1"/>
  <c r="I98" i="1"/>
  <c r="AA98" i="1" s="1"/>
  <c r="I99" i="1"/>
  <c r="AA99" i="1" s="1"/>
  <c r="I100" i="1"/>
  <c r="AA100" i="1" s="1"/>
  <c r="I101" i="1"/>
  <c r="AA101" i="1" s="1"/>
  <c r="I102" i="1"/>
  <c r="AA102" i="1" s="1"/>
  <c r="I103" i="1"/>
  <c r="AA103" i="1" s="1"/>
  <c r="I104" i="1"/>
  <c r="AA104" i="1" s="1"/>
  <c r="I105" i="1"/>
  <c r="AA105" i="1" s="1"/>
  <c r="I106" i="1"/>
  <c r="AA106" i="1" s="1"/>
  <c r="I107" i="1"/>
  <c r="AA107" i="1" s="1"/>
  <c r="I108" i="1"/>
  <c r="AA108" i="1" s="1"/>
  <c r="I109" i="1"/>
  <c r="AA109" i="1" s="1"/>
  <c r="I110" i="1"/>
  <c r="AA110" i="1" s="1"/>
  <c r="I111" i="1"/>
  <c r="AA111" i="1" s="1"/>
  <c r="I112" i="1"/>
  <c r="AA112" i="1" s="1"/>
  <c r="I113" i="1"/>
  <c r="AA113" i="1" s="1"/>
  <c r="I114" i="1"/>
  <c r="AA114" i="1" s="1"/>
  <c r="I115" i="1"/>
  <c r="AA115" i="1" s="1"/>
  <c r="I116" i="1"/>
  <c r="AA116" i="1" s="1"/>
  <c r="I117" i="1"/>
  <c r="AA117" i="1" s="1"/>
  <c r="I118" i="1"/>
  <c r="AA118" i="1" s="1"/>
  <c r="I119" i="1"/>
  <c r="AA119" i="1" s="1"/>
  <c r="I120" i="1"/>
  <c r="AA120" i="1" s="1"/>
  <c r="I121" i="1"/>
  <c r="AA121" i="1" s="1"/>
  <c r="I122" i="1"/>
  <c r="AA122" i="1" s="1"/>
  <c r="I123" i="1"/>
  <c r="AA123" i="1" s="1"/>
  <c r="I124" i="1"/>
  <c r="AA124" i="1" s="1"/>
  <c r="I125" i="1"/>
  <c r="AA125" i="1" s="1"/>
  <c r="I126" i="1"/>
  <c r="AA126" i="1" s="1"/>
  <c r="I127" i="1"/>
  <c r="AA127" i="1" s="1"/>
  <c r="I89" i="1"/>
  <c r="AA89" i="1" s="1"/>
  <c r="K90" i="1"/>
  <c r="AC90" i="1" s="1"/>
  <c r="K91" i="1"/>
  <c r="AC91" i="1" s="1"/>
  <c r="K92" i="1"/>
  <c r="AC92" i="1" s="1"/>
  <c r="K93" i="1"/>
  <c r="AC93" i="1" s="1"/>
  <c r="K94" i="1"/>
  <c r="AC94" i="1" s="1"/>
  <c r="K95" i="1"/>
  <c r="AC95" i="1" s="1"/>
  <c r="K96" i="1"/>
  <c r="AC96" i="1" s="1"/>
  <c r="K97" i="1"/>
  <c r="AC97" i="1" s="1"/>
  <c r="K98" i="1"/>
  <c r="AC98" i="1" s="1"/>
  <c r="K99" i="1"/>
  <c r="AC99" i="1" s="1"/>
  <c r="K100" i="1"/>
  <c r="AC100" i="1" s="1"/>
  <c r="K101" i="1"/>
  <c r="AC101" i="1" s="1"/>
  <c r="K102" i="1"/>
  <c r="AC102" i="1" s="1"/>
  <c r="K103" i="1"/>
  <c r="AC103" i="1" s="1"/>
  <c r="K104" i="1"/>
  <c r="AC104" i="1" s="1"/>
  <c r="K105" i="1"/>
  <c r="AC105" i="1" s="1"/>
  <c r="K106" i="1"/>
  <c r="AC106" i="1" s="1"/>
  <c r="K107" i="1"/>
  <c r="AC107" i="1" s="1"/>
  <c r="K108" i="1"/>
  <c r="AC108" i="1" s="1"/>
  <c r="K109" i="1"/>
  <c r="AC109" i="1" s="1"/>
  <c r="K110" i="1"/>
  <c r="AC110" i="1" s="1"/>
  <c r="K111" i="1"/>
  <c r="AC111" i="1" s="1"/>
  <c r="K112" i="1"/>
  <c r="AC112" i="1" s="1"/>
  <c r="K113" i="1"/>
  <c r="AC113" i="1" s="1"/>
  <c r="K114" i="1"/>
  <c r="AC114" i="1" s="1"/>
  <c r="K115" i="1"/>
  <c r="AC115" i="1" s="1"/>
  <c r="K116" i="1"/>
  <c r="AC116" i="1" s="1"/>
  <c r="K117" i="1"/>
  <c r="AC117" i="1" s="1"/>
  <c r="K118" i="1"/>
  <c r="AC118" i="1" s="1"/>
  <c r="K119" i="1"/>
  <c r="AC119" i="1" s="1"/>
  <c r="K120" i="1"/>
  <c r="AC120" i="1" s="1"/>
  <c r="K121" i="1"/>
  <c r="AC121" i="1" s="1"/>
  <c r="K122" i="1"/>
  <c r="AC122" i="1" s="1"/>
  <c r="K123" i="1"/>
  <c r="AC123" i="1" s="1"/>
  <c r="K124" i="1"/>
  <c r="AC124" i="1" s="1"/>
  <c r="K125" i="1"/>
  <c r="AC125" i="1" s="1"/>
  <c r="K126" i="1"/>
  <c r="AC126" i="1" s="1"/>
  <c r="K127" i="1"/>
  <c r="AC127" i="1" s="1"/>
  <c r="K89" i="1"/>
  <c r="AC89" i="1" s="1"/>
  <c r="M226" i="1"/>
  <c r="M222" i="1"/>
  <c r="M224" i="1"/>
  <c r="M231" i="1"/>
  <c r="M221" i="1"/>
  <c r="C219" i="1"/>
  <c r="K232" i="1"/>
  <c r="K230" i="1"/>
  <c r="J230" i="1"/>
  <c r="J232" i="1"/>
  <c r="I232" i="1"/>
  <c r="I230" i="1"/>
  <c r="H232" i="1"/>
  <c r="H230" i="1"/>
  <c r="G232" i="1"/>
  <c r="G230" i="1"/>
  <c r="F232" i="1"/>
  <c r="F230" i="1"/>
  <c r="E232" i="1"/>
  <c r="E230" i="1"/>
  <c r="D232" i="1"/>
  <c r="D230" i="1"/>
  <c r="C230" i="1"/>
  <c r="X40" i="1"/>
  <c r="X49" i="1"/>
  <c r="Y49" i="1"/>
  <c r="X47" i="1"/>
  <c r="Y47" i="1"/>
  <c r="Y46" i="1"/>
  <c r="L46" i="1"/>
  <c r="AD46" i="1" s="1"/>
  <c r="J49" i="1"/>
  <c r="AB49" i="1" s="1"/>
  <c r="Z49" i="1"/>
  <c r="J47" i="1"/>
  <c r="AB47" i="1" s="1"/>
  <c r="Z47" i="1"/>
  <c r="I46" i="1"/>
  <c r="AA46" i="1" s="1"/>
  <c r="AC49" i="1"/>
  <c r="AE49" i="1"/>
  <c r="AX49" i="1" s="1"/>
  <c r="AF49" i="1"/>
  <c r="AG49" i="1"/>
  <c r="AH49" i="1"/>
  <c r="AI49" i="1"/>
  <c r="AJ49" i="1"/>
  <c r="AK49" i="1"/>
  <c r="AL49" i="1"/>
  <c r="AM49" i="1"/>
  <c r="W49" i="1"/>
  <c r="AO47" i="1"/>
  <c r="AO49" i="1"/>
  <c r="AO46" i="1"/>
  <c r="AC46" i="1"/>
  <c r="AE46" i="1"/>
  <c r="AF46" i="1"/>
  <c r="AG46" i="1"/>
  <c r="AH46" i="1"/>
  <c r="AI46" i="1"/>
  <c r="AJ46" i="1"/>
  <c r="AK46" i="1"/>
  <c r="AL46" i="1"/>
  <c r="AM46" i="1"/>
  <c r="AC47" i="1"/>
  <c r="AE47" i="1"/>
  <c r="AF47" i="1"/>
  <c r="AG47" i="1"/>
  <c r="AH47" i="1"/>
  <c r="AI47" i="1"/>
  <c r="AJ47" i="1"/>
  <c r="AK47" i="1"/>
  <c r="AL47" i="1"/>
  <c r="AM47" i="1"/>
  <c r="W47" i="1"/>
  <c r="W46" i="1"/>
  <c r="X89" i="1"/>
  <c r="Y89" i="1"/>
  <c r="Z89" i="1"/>
  <c r="AD89" i="1"/>
  <c r="AE89" i="1"/>
  <c r="AF89" i="1"/>
  <c r="AG89" i="1"/>
  <c r="AH89" i="1"/>
  <c r="AI89" i="1"/>
  <c r="AJ89" i="1"/>
  <c r="AK89" i="1"/>
  <c r="AL89" i="1"/>
  <c r="AM89" i="1"/>
  <c r="X90" i="1"/>
  <c r="Y90" i="1"/>
  <c r="Z90" i="1"/>
  <c r="AD90" i="1"/>
  <c r="AE90" i="1"/>
  <c r="AF90" i="1"/>
  <c r="AG90" i="1"/>
  <c r="AH90" i="1"/>
  <c r="AI90" i="1"/>
  <c r="AJ90" i="1"/>
  <c r="AK90" i="1"/>
  <c r="AL90" i="1"/>
  <c r="AM90" i="1"/>
  <c r="X91" i="1"/>
  <c r="Y91" i="1"/>
  <c r="Z91" i="1"/>
  <c r="AD91" i="1"/>
  <c r="AE91" i="1"/>
  <c r="AF91" i="1"/>
  <c r="AG91" i="1"/>
  <c r="AH91" i="1"/>
  <c r="AI91" i="1"/>
  <c r="AJ91" i="1"/>
  <c r="AK91" i="1"/>
  <c r="AL91" i="1"/>
  <c r="AM91" i="1"/>
  <c r="X92" i="1"/>
  <c r="Y92" i="1"/>
  <c r="Z92" i="1"/>
  <c r="AD92" i="1"/>
  <c r="AE92" i="1"/>
  <c r="AF92" i="1"/>
  <c r="AG92" i="1"/>
  <c r="AH92" i="1"/>
  <c r="AI92" i="1"/>
  <c r="AJ92" i="1"/>
  <c r="AK92" i="1"/>
  <c r="AL92" i="1"/>
  <c r="AM92" i="1"/>
  <c r="X93" i="1"/>
  <c r="Y93" i="1"/>
  <c r="Z93" i="1"/>
  <c r="AD93" i="1"/>
  <c r="AE93" i="1"/>
  <c r="AF93" i="1"/>
  <c r="AG93" i="1"/>
  <c r="AH93" i="1"/>
  <c r="AI93" i="1"/>
  <c r="AJ93" i="1"/>
  <c r="AK93" i="1"/>
  <c r="AL93" i="1"/>
  <c r="AM93" i="1"/>
  <c r="X94" i="1"/>
  <c r="Y94" i="1"/>
  <c r="Z94" i="1"/>
  <c r="AD94" i="1"/>
  <c r="AE94" i="1"/>
  <c r="AF94" i="1"/>
  <c r="AG94" i="1"/>
  <c r="AH94" i="1"/>
  <c r="AI94" i="1"/>
  <c r="AJ94" i="1"/>
  <c r="AK94" i="1"/>
  <c r="AL94" i="1"/>
  <c r="AM94" i="1"/>
  <c r="X95" i="1"/>
  <c r="Y95" i="1"/>
  <c r="Z95" i="1"/>
  <c r="AD95" i="1"/>
  <c r="AE95" i="1"/>
  <c r="AF95" i="1"/>
  <c r="AG95" i="1"/>
  <c r="AH95" i="1"/>
  <c r="AI95" i="1"/>
  <c r="AJ95" i="1"/>
  <c r="AK95" i="1"/>
  <c r="AL95" i="1"/>
  <c r="AM95" i="1"/>
  <c r="X96" i="1"/>
  <c r="Y96" i="1"/>
  <c r="Z96" i="1"/>
  <c r="AD96" i="1"/>
  <c r="AE96" i="1"/>
  <c r="AF96" i="1"/>
  <c r="AG96" i="1"/>
  <c r="AH96" i="1"/>
  <c r="AI96" i="1"/>
  <c r="AJ96" i="1"/>
  <c r="AK96" i="1"/>
  <c r="AL96" i="1"/>
  <c r="AM96" i="1"/>
  <c r="X97" i="1"/>
  <c r="Y97" i="1"/>
  <c r="Z97" i="1"/>
  <c r="AD97" i="1"/>
  <c r="AE97" i="1"/>
  <c r="AF97" i="1"/>
  <c r="AG97" i="1"/>
  <c r="AH97" i="1"/>
  <c r="AI97" i="1"/>
  <c r="AJ97" i="1"/>
  <c r="AK97" i="1"/>
  <c r="AL97" i="1"/>
  <c r="AM97" i="1"/>
  <c r="X98" i="1"/>
  <c r="Y98" i="1"/>
  <c r="Z98" i="1"/>
  <c r="AD98" i="1"/>
  <c r="AE98" i="1"/>
  <c r="AF98" i="1"/>
  <c r="AG98" i="1"/>
  <c r="AH98" i="1"/>
  <c r="AI98" i="1"/>
  <c r="AJ98" i="1"/>
  <c r="AK98" i="1"/>
  <c r="AL98" i="1"/>
  <c r="AM98" i="1"/>
  <c r="X99" i="1"/>
  <c r="Y99" i="1"/>
  <c r="Z99" i="1"/>
  <c r="AD99" i="1"/>
  <c r="AE99" i="1"/>
  <c r="AF99" i="1"/>
  <c r="AG99" i="1"/>
  <c r="AH99" i="1"/>
  <c r="AI99" i="1"/>
  <c r="AJ99" i="1"/>
  <c r="AK99" i="1"/>
  <c r="AL99" i="1"/>
  <c r="AM99" i="1"/>
  <c r="X100" i="1"/>
  <c r="Y100" i="1"/>
  <c r="Z100" i="1"/>
  <c r="AD100" i="1"/>
  <c r="AE100" i="1"/>
  <c r="AF100" i="1"/>
  <c r="AG100" i="1"/>
  <c r="AH100" i="1"/>
  <c r="AI100" i="1"/>
  <c r="AJ100" i="1"/>
  <c r="AK100" i="1"/>
  <c r="AL100" i="1"/>
  <c r="AM100" i="1"/>
  <c r="X101" i="1"/>
  <c r="Y101" i="1"/>
  <c r="Z101" i="1"/>
  <c r="AD101" i="1"/>
  <c r="AE101" i="1"/>
  <c r="AF101" i="1"/>
  <c r="AG101" i="1"/>
  <c r="AH101" i="1"/>
  <c r="AI101" i="1"/>
  <c r="AJ101" i="1"/>
  <c r="AK101" i="1"/>
  <c r="AL101" i="1"/>
  <c r="AM101" i="1"/>
  <c r="X102" i="1"/>
  <c r="Y102" i="1"/>
  <c r="Z102" i="1"/>
  <c r="AD102" i="1"/>
  <c r="AE102" i="1"/>
  <c r="AF102" i="1"/>
  <c r="AG102" i="1"/>
  <c r="AH102" i="1"/>
  <c r="AI102" i="1"/>
  <c r="AJ102" i="1"/>
  <c r="AK102" i="1"/>
  <c r="AL102" i="1"/>
  <c r="AM102" i="1"/>
  <c r="X103" i="1"/>
  <c r="Y103" i="1"/>
  <c r="Z103" i="1"/>
  <c r="AD103" i="1"/>
  <c r="AE103" i="1"/>
  <c r="AF103" i="1"/>
  <c r="AG103" i="1"/>
  <c r="AH103" i="1"/>
  <c r="AI103" i="1"/>
  <c r="AJ103" i="1"/>
  <c r="AK103" i="1"/>
  <c r="AL103" i="1"/>
  <c r="AM103" i="1"/>
  <c r="X104" i="1"/>
  <c r="Y104" i="1"/>
  <c r="Z104" i="1"/>
  <c r="AD104" i="1"/>
  <c r="AE104" i="1"/>
  <c r="AF104" i="1"/>
  <c r="AG104" i="1"/>
  <c r="AH104" i="1"/>
  <c r="AI104" i="1"/>
  <c r="AJ104" i="1"/>
  <c r="AK104" i="1"/>
  <c r="AL104" i="1"/>
  <c r="AM104" i="1"/>
  <c r="X105" i="1"/>
  <c r="Y105" i="1"/>
  <c r="Z105" i="1"/>
  <c r="AD105" i="1"/>
  <c r="AE105" i="1"/>
  <c r="AF105" i="1"/>
  <c r="AG105" i="1"/>
  <c r="AH105" i="1"/>
  <c r="AI105" i="1"/>
  <c r="AJ105" i="1"/>
  <c r="AK105" i="1"/>
  <c r="AL105" i="1"/>
  <c r="AM105" i="1"/>
  <c r="X106" i="1"/>
  <c r="Y106" i="1"/>
  <c r="Z106" i="1"/>
  <c r="AD106" i="1"/>
  <c r="AE106" i="1"/>
  <c r="AF106" i="1"/>
  <c r="AG106" i="1"/>
  <c r="AH106" i="1"/>
  <c r="AI106" i="1"/>
  <c r="AJ106" i="1"/>
  <c r="AK106" i="1"/>
  <c r="AL106" i="1"/>
  <c r="AM106" i="1"/>
  <c r="X107" i="1"/>
  <c r="Y107" i="1"/>
  <c r="Z107" i="1"/>
  <c r="AD107" i="1"/>
  <c r="AE107" i="1"/>
  <c r="AF107" i="1"/>
  <c r="AG107" i="1"/>
  <c r="AH107" i="1"/>
  <c r="AI107" i="1"/>
  <c r="AJ107" i="1"/>
  <c r="AK107" i="1"/>
  <c r="AL107" i="1"/>
  <c r="AM107" i="1"/>
  <c r="X108" i="1"/>
  <c r="Y108" i="1"/>
  <c r="Z108" i="1"/>
  <c r="AD108" i="1"/>
  <c r="AE108" i="1"/>
  <c r="AF108" i="1"/>
  <c r="AG108" i="1"/>
  <c r="AH108" i="1"/>
  <c r="AI108" i="1"/>
  <c r="AJ108" i="1"/>
  <c r="AK108" i="1"/>
  <c r="AL108" i="1"/>
  <c r="AM108" i="1"/>
  <c r="X109" i="1"/>
  <c r="Y109" i="1"/>
  <c r="Z109" i="1"/>
  <c r="AD109" i="1"/>
  <c r="AE109" i="1"/>
  <c r="AF109" i="1"/>
  <c r="AG109" i="1"/>
  <c r="AH109" i="1"/>
  <c r="AI109" i="1"/>
  <c r="AJ109" i="1"/>
  <c r="AK109" i="1"/>
  <c r="AL109" i="1"/>
  <c r="AM109" i="1"/>
  <c r="X110" i="1"/>
  <c r="Y110" i="1"/>
  <c r="Z110" i="1"/>
  <c r="AD110" i="1"/>
  <c r="AE110" i="1"/>
  <c r="AF110" i="1"/>
  <c r="AG110" i="1"/>
  <c r="AH110" i="1"/>
  <c r="AI110" i="1"/>
  <c r="AJ110" i="1"/>
  <c r="AK110" i="1"/>
  <c r="AL110" i="1"/>
  <c r="AM110" i="1"/>
  <c r="X111" i="1"/>
  <c r="Y111" i="1"/>
  <c r="Z111" i="1"/>
  <c r="AD111" i="1"/>
  <c r="AE111" i="1"/>
  <c r="AF111" i="1"/>
  <c r="AG111" i="1"/>
  <c r="AH111" i="1"/>
  <c r="AI111" i="1"/>
  <c r="AJ111" i="1"/>
  <c r="AK111" i="1"/>
  <c r="AL111" i="1"/>
  <c r="AM111" i="1"/>
  <c r="X112" i="1"/>
  <c r="Y112" i="1"/>
  <c r="Z112" i="1"/>
  <c r="AD112" i="1"/>
  <c r="AE112" i="1"/>
  <c r="AF112" i="1"/>
  <c r="AG112" i="1"/>
  <c r="AH112" i="1"/>
  <c r="AI112" i="1"/>
  <c r="AJ112" i="1"/>
  <c r="AK112" i="1"/>
  <c r="AL112" i="1"/>
  <c r="AM112" i="1"/>
  <c r="X113" i="1"/>
  <c r="Y113" i="1"/>
  <c r="Z113" i="1"/>
  <c r="AD113" i="1"/>
  <c r="AE113" i="1"/>
  <c r="AF113" i="1"/>
  <c r="AG113" i="1"/>
  <c r="AH113" i="1"/>
  <c r="AI113" i="1"/>
  <c r="AJ113" i="1"/>
  <c r="AK113" i="1"/>
  <c r="AL113" i="1"/>
  <c r="AM113" i="1"/>
  <c r="X114" i="1"/>
  <c r="Y114" i="1"/>
  <c r="Z114" i="1"/>
  <c r="AD114" i="1"/>
  <c r="AE114" i="1"/>
  <c r="AF114" i="1"/>
  <c r="AG114" i="1"/>
  <c r="AH114" i="1"/>
  <c r="AI114" i="1"/>
  <c r="AJ114" i="1"/>
  <c r="AK114" i="1"/>
  <c r="AL114" i="1"/>
  <c r="AM114" i="1"/>
  <c r="X115" i="1"/>
  <c r="Y115" i="1"/>
  <c r="Z115" i="1"/>
  <c r="AD115" i="1"/>
  <c r="AE115" i="1"/>
  <c r="AF115" i="1"/>
  <c r="AG115" i="1"/>
  <c r="AH115" i="1"/>
  <c r="AI115" i="1"/>
  <c r="AJ115" i="1"/>
  <c r="AK115" i="1"/>
  <c r="AL115" i="1"/>
  <c r="AM115" i="1"/>
  <c r="X116" i="1"/>
  <c r="Y116" i="1"/>
  <c r="Z116" i="1"/>
  <c r="AD116" i="1"/>
  <c r="AE116" i="1"/>
  <c r="AF116" i="1"/>
  <c r="AG116" i="1"/>
  <c r="AH116" i="1"/>
  <c r="AI116" i="1"/>
  <c r="AJ116" i="1"/>
  <c r="AK116" i="1"/>
  <c r="AL116" i="1"/>
  <c r="AM116" i="1"/>
  <c r="X117" i="1"/>
  <c r="Y117" i="1"/>
  <c r="Z117" i="1"/>
  <c r="AD117" i="1"/>
  <c r="AE117" i="1"/>
  <c r="AF117" i="1"/>
  <c r="AG117" i="1"/>
  <c r="AH117" i="1"/>
  <c r="AI117" i="1"/>
  <c r="AJ117" i="1"/>
  <c r="AK117" i="1"/>
  <c r="AL117" i="1"/>
  <c r="AM117" i="1"/>
  <c r="X118" i="1"/>
  <c r="Y118" i="1"/>
  <c r="Z118" i="1"/>
  <c r="AD118" i="1"/>
  <c r="AE118" i="1"/>
  <c r="AF118" i="1"/>
  <c r="AG118" i="1"/>
  <c r="AH118" i="1"/>
  <c r="AI118" i="1"/>
  <c r="AJ118" i="1"/>
  <c r="AK118" i="1"/>
  <c r="AL118" i="1"/>
  <c r="AM118" i="1"/>
  <c r="X119" i="1"/>
  <c r="Y119" i="1"/>
  <c r="Z119" i="1"/>
  <c r="AD119" i="1"/>
  <c r="AE119" i="1"/>
  <c r="AF119" i="1"/>
  <c r="AG119" i="1"/>
  <c r="AH119" i="1"/>
  <c r="AI119" i="1"/>
  <c r="AJ119" i="1"/>
  <c r="AK119" i="1"/>
  <c r="AL119" i="1"/>
  <c r="AM119" i="1"/>
  <c r="X120" i="1"/>
  <c r="Y120" i="1"/>
  <c r="Z120" i="1"/>
  <c r="AD120" i="1"/>
  <c r="AE120" i="1"/>
  <c r="AF120" i="1"/>
  <c r="AG120" i="1"/>
  <c r="AH120" i="1"/>
  <c r="AI120" i="1"/>
  <c r="AJ120" i="1"/>
  <c r="AK120" i="1"/>
  <c r="AL120" i="1"/>
  <c r="AM120" i="1"/>
  <c r="X121" i="1"/>
  <c r="Y121" i="1"/>
  <c r="Z121" i="1"/>
  <c r="AD121" i="1"/>
  <c r="AE121" i="1"/>
  <c r="AF121" i="1"/>
  <c r="AG121" i="1"/>
  <c r="AH121" i="1"/>
  <c r="AI121" i="1"/>
  <c r="AJ121" i="1"/>
  <c r="AK121" i="1"/>
  <c r="AL121" i="1"/>
  <c r="AM121" i="1"/>
  <c r="X122" i="1"/>
  <c r="Y122" i="1"/>
  <c r="Z122" i="1"/>
  <c r="AD122" i="1"/>
  <c r="AE122" i="1"/>
  <c r="AF122" i="1"/>
  <c r="AG122" i="1"/>
  <c r="AH122" i="1"/>
  <c r="AI122" i="1"/>
  <c r="AJ122" i="1"/>
  <c r="AK122" i="1"/>
  <c r="AL122" i="1"/>
  <c r="AM122" i="1"/>
  <c r="X123" i="1"/>
  <c r="Y123" i="1"/>
  <c r="Z123" i="1"/>
  <c r="AD123" i="1"/>
  <c r="AE123" i="1"/>
  <c r="AF123" i="1"/>
  <c r="AG123" i="1"/>
  <c r="AH123" i="1"/>
  <c r="AI123" i="1"/>
  <c r="AJ123" i="1"/>
  <c r="AK123" i="1"/>
  <c r="AL123" i="1"/>
  <c r="AM123" i="1"/>
  <c r="X124" i="1"/>
  <c r="Y124" i="1"/>
  <c r="Z124" i="1"/>
  <c r="AD124" i="1"/>
  <c r="AE124" i="1"/>
  <c r="AF124" i="1"/>
  <c r="AG124" i="1"/>
  <c r="AH124" i="1"/>
  <c r="AI124" i="1"/>
  <c r="AJ124" i="1"/>
  <c r="AK124" i="1"/>
  <c r="AL124" i="1"/>
  <c r="AM124" i="1"/>
  <c r="X125" i="1"/>
  <c r="Y125" i="1"/>
  <c r="Z125" i="1"/>
  <c r="AD125" i="1"/>
  <c r="AE125" i="1"/>
  <c r="AF125" i="1"/>
  <c r="AG125" i="1"/>
  <c r="AH125" i="1"/>
  <c r="AI125" i="1"/>
  <c r="AJ125" i="1"/>
  <c r="AK125" i="1"/>
  <c r="AL125" i="1"/>
  <c r="AM125" i="1"/>
  <c r="X126" i="1"/>
  <c r="Y126" i="1"/>
  <c r="Z126" i="1"/>
  <c r="AD126" i="1"/>
  <c r="AE126" i="1"/>
  <c r="AF126" i="1"/>
  <c r="AG126" i="1"/>
  <c r="AH126" i="1"/>
  <c r="AI126" i="1"/>
  <c r="AJ126" i="1"/>
  <c r="AK126" i="1"/>
  <c r="AL126" i="1"/>
  <c r="AM126" i="1"/>
  <c r="X127" i="1"/>
  <c r="Y127" i="1"/>
  <c r="Z127" i="1"/>
  <c r="AD127" i="1"/>
  <c r="AE127" i="1"/>
  <c r="AF127" i="1"/>
  <c r="AG127" i="1"/>
  <c r="AH127" i="1"/>
  <c r="AI127" i="1"/>
  <c r="AJ127" i="1"/>
  <c r="AK127" i="1"/>
  <c r="AL127" i="1"/>
  <c r="AM127" i="1"/>
  <c r="J89" i="1"/>
  <c r="AB89" i="1" s="1"/>
  <c r="J90" i="1"/>
  <c r="AB90" i="1" s="1"/>
  <c r="J91" i="1"/>
  <c r="AB91" i="1" s="1"/>
  <c r="J92" i="1"/>
  <c r="AB92" i="1" s="1"/>
  <c r="J93" i="1"/>
  <c r="AB93" i="1" s="1"/>
  <c r="J94" i="1"/>
  <c r="AB94" i="1" s="1"/>
  <c r="J95" i="1"/>
  <c r="AB95" i="1" s="1"/>
  <c r="J96" i="1"/>
  <c r="AB96" i="1" s="1"/>
  <c r="J97" i="1"/>
  <c r="AB97" i="1" s="1"/>
  <c r="J98" i="1"/>
  <c r="AB98" i="1" s="1"/>
  <c r="J99" i="1"/>
  <c r="AB99" i="1" s="1"/>
  <c r="J100" i="1"/>
  <c r="AB100" i="1" s="1"/>
  <c r="J101" i="1"/>
  <c r="AB101" i="1" s="1"/>
  <c r="J102" i="1"/>
  <c r="AB102" i="1" s="1"/>
  <c r="J103" i="1"/>
  <c r="AB103" i="1" s="1"/>
  <c r="J104" i="1"/>
  <c r="AB104" i="1" s="1"/>
  <c r="J105" i="1"/>
  <c r="AB105" i="1" s="1"/>
  <c r="J106" i="1"/>
  <c r="AB106" i="1" s="1"/>
  <c r="J107" i="1"/>
  <c r="AB107" i="1" s="1"/>
  <c r="J108" i="1"/>
  <c r="AB108" i="1" s="1"/>
  <c r="J109" i="1"/>
  <c r="AB109" i="1" s="1"/>
  <c r="J110" i="1"/>
  <c r="AB110" i="1" s="1"/>
  <c r="J111" i="1"/>
  <c r="AB111" i="1" s="1"/>
  <c r="J112" i="1"/>
  <c r="AB112" i="1" s="1"/>
  <c r="J113" i="1"/>
  <c r="AB113" i="1" s="1"/>
  <c r="J114" i="1"/>
  <c r="AB114" i="1" s="1"/>
  <c r="J115" i="1"/>
  <c r="AB115" i="1" s="1"/>
  <c r="J116" i="1"/>
  <c r="AB116" i="1" s="1"/>
  <c r="J117" i="1"/>
  <c r="AB117" i="1" s="1"/>
  <c r="J118" i="1"/>
  <c r="AB118" i="1" s="1"/>
  <c r="J119" i="1"/>
  <c r="AB119" i="1" s="1"/>
  <c r="J120" i="1"/>
  <c r="AB120" i="1" s="1"/>
  <c r="J121" i="1"/>
  <c r="AB121" i="1" s="1"/>
  <c r="J122" i="1"/>
  <c r="AB122" i="1" s="1"/>
  <c r="J123" i="1"/>
  <c r="AB123" i="1" s="1"/>
  <c r="J124" i="1"/>
  <c r="AB124" i="1" s="1"/>
  <c r="J125" i="1"/>
  <c r="AB125" i="1" s="1"/>
  <c r="J126" i="1"/>
  <c r="AB126" i="1" s="1"/>
  <c r="J127" i="1"/>
  <c r="AB127" i="1" s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W133" i="1"/>
  <c r="AJ146" i="1" l="1"/>
  <c r="AJ147" i="1"/>
  <c r="B222" i="1"/>
  <c r="B221" i="1"/>
  <c r="AY125" i="1"/>
  <c r="AY119" i="1"/>
  <c r="AY113" i="1"/>
  <c r="AY107" i="1"/>
  <c r="AY101" i="1"/>
  <c r="AY95" i="1"/>
  <c r="AY89" i="1"/>
  <c r="H229" i="1"/>
  <c r="M229" i="1" s="1"/>
  <c r="B229" i="1" s="1"/>
  <c r="B235" i="1" s="1"/>
  <c r="AX108" i="1"/>
  <c r="AX90" i="1"/>
  <c r="AY126" i="1"/>
  <c r="AY120" i="1"/>
  <c r="AY114" i="1"/>
  <c r="AY108" i="1"/>
  <c r="AY96" i="1"/>
  <c r="AY90" i="1"/>
  <c r="B226" i="1"/>
  <c r="AY49" i="1"/>
  <c r="AY102" i="1"/>
  <c r="M230" i="1"/>
  <c r="B230" i="1" s="1"/>
  <c r="M232" i="1"/>
  <c r="B232" i="1" s="1"/>
  <c r="AY99" i="1"/>
  <c r="F46" i="1"/>
  <c r="X46" i="1" s="1"/>
  <c r="B231" i="1"/>
  <c r="AY118" i="1"/>
  <c r="AY106" i="1"/>
  <c r="AY100" i="1"/>
  <c r="AY94" i="1"/>
  <c r="AY47" i="1"/>
  <c r="B224" i="1"/>
  <c r="AX46" i="1"/>
  <c r="AY122" i="1"/>
  <c r="AY92" i="1"/>
  <c r="AX125" i="1"/>
  <c r="AZ120" i="1"/>
  <c r="AZ114" i="1"/>
  <c r="AX113" i="1"/>
  <c r="AZ108" i="1"/>
  <c r="AX107" i="1"/>
  <c r="AZ102" i="1"/>
  <c r="AX101" i="1"/>
  <c r="AZ96" i="1"/>
  <c r="AX95" i="1"/>
  <c r="AZ90" i="1"/>
  <c r="AX89" i="1"/>
  <c r="AZ109" i="1"/>
  <c r="AZ97" i="1"/>
  <c r="AY116" i="1"/>
  <c r="AY110" i="1"/>
  <c r="AY104" i="1"/>
  <c r="AY98" i="1"/>
  <c r="AZ126" i="1"/>
  <c r="AX119" i="1"/>
  <c r="AY123" i="1"/>
  <c r="AY117" i="1"/>
  <c r="AY111" i="1"/>
  <c r="AY93" i="1"/>
  <c r="AY105" i="1"/>
  <c r="AZ103" i="1"/>
  <c r="AX102" i="1"/>
  <c r="AX96" i="1"/>
  <c r="AZ91" i="1"/>
  <c r="H46" i="1"/>
  <c r="AY127" i="1"/>
  <c r="AY121" i="1"/>
  <c r="AY115" i="1"/>
  <c r="AY109" i="1"/>
  <c r="AY103" i="1"/>
  <c r="AY97" i="1"/>
  <c r="AY91" i="1"/>
  <c r="AQ47" i="1"/>
  <c r="AQ46" i="1"/>
  <c r="AX124" i="1"/>
  <c r="AZ119" i="1"/>
  <c r="AX118" i="1"/>
  <c r="AX112" i="1"/>
  <c r="AZ107" i="1"/>
  <c r="AX106" i="1"/>
  <c r="AX117" i="1"/>
  <c r="AX105" i="1"/>
  <c r="AX93" i="1"/>
  <c r="AY124" i="1"/>
  <c r="AX122" i="1"/>
  <c r="AY112" i="1"/>
  <c r="AX110" i="1"/>
  <c r="AX98" i="1"/>
  <c r="AY46" i="1"/>
  <c r="AQ49" i="1"/>
  <c r="AX104" i="1"/>
  <c r="AX92" i="1"/>
  <c r="AX116" i="1"/>
  <c r="AX127" i="1"/>
  <c r="AX121" i="1"/>
  <c r="AX115" i="1"/>
  <c r="AX109" i="1"/>
  <c r="AX103" i="1"/>
  <c r="AX97" i="1"/>
  <c r="AX91" i="1"/>
  <c r="AZ127" i="1"/>
  <c r="AX126" i="1"/>
  <c r="AX120" i="1"/>
  <c r="AZ115" i="1"/>
  <c r="AX114" i="1"/>
  <c r="AZ121" i="1"/>
  <c r="AX100" i="1"/>
  <c r="AZ95" i="1"/>
  <c r="AX94" i="1"/>
  <c r="AX123" i="1"/>
  <c r="AX111" i="1"/>
  <c r="AX99" i="1"/>
  <c r="AX47" i="1"/>
  <c r="AP49" i="1"/>
  <c r="AP47" i="1"/>
  <c r="AZ47" i="1"/>
  <c r="AZ49" i="1"/>
  <c r="AZ92" i="1"/>
  <c r="AZ125" i="1"/>
  <c r="AZ101" i="1"/>
  <c r="AZ104" i="1"/>
  <c r="AZ116" i="1"/>
  <c r="AZ89" i="1"/>
  <c r="AZ112" i="1"/>
  <c r="AZ113" i="1"/>
  <c r="AZ124" i="1"/>
  <c r="AZ122" i="1"/>
  <c r="AZ106" i="1"/>
  <c r="AZ98" i="1"/>
  <c r="AZ118" i="1"/>
  <c r="AZ110" i="1"/>
  <c r="AZ100" i="1"/>
  <c r="AZ94" i="1"/>
  <c r="AZ123" i="1"/>
  <c r="AZ117" i="1"/>
  <c r="AZ111" i="1"/>
  <c r="AZ105" i="1"/>
  <c r="AZ99" i="1"/>
  <c r="AZ93" i="1"/>
  <c r="AP117" i="1"/>
  <c r="AP106" i="1"/>
  <c r="AP105" i="1"/>
  <c r="AP94" i="1"/>
  <c r="AP92" i="1"/>
  <c r="AP113" i="1"/>
  <c r="AP125" i="1"/>
  <c r="AP101" i="1"/>
  <c r="AP93" i="1"/>
  <c r="AP103" i="1"/>
  <c r="AP115" i="1"/>
  <c r="AP111" i="1"/>
  <c r="AP97" i="1"/>
  <c r="AP121" i="1"/>
  <c r="AP109" i="1"/>
  <c r="AP127" i="1"/>
  <c r="AP91" i="1"/>
  <c r="AP123" i="1"/>
  <c r="AP95" i="1"/>
  <c r="AP99" i="1"/>
  <c r="AP107" i="1"/>
  <c r="AP104" i="1"/>
  <c r="AP100" i="1"/>
  <c r="AP110" i="1"/>
  <c r="AP98" i="1"/>
  <c r="AP122" i="1"/>
  <c r="AP90" i="1"/>
  <c r="AP119" i="1"/>
  <c r="AP116" i="1"/>
  <c r="AP112" i="1"/>
  <c r="AP124" i="1"/>
  <c r="AP118" i="1"/>
  <c r="AP96" i="1"/>
  <c r="AP126" i="1"/>
  <c r="AP114" i="1"/>
  <c r="AP108" i="1"/>
  <c r="AP102" i="1"/>
  <c r="AP120" i="1"/>
  <c r="AQ92" i="1"/>
  <c r="AQ96" i="1"/>
  <c r="AQ122" i="1"/>
  <c r="AQ119" i="1"/>
  <c r="AQ110" i="1"/>
  <c r="AQ107" i="1"/>
  <c r="AQ98" i="1"/>
  <c r="AQ127" i="1"/>
  <c r="AQ124" i="1"/>
  <c r="AQ121" i="1"/>
  <c r="AQ118" i="1"/>
  <c r="AQ115" i="1"/>
  <c r="AQ112" i="1"/>
  <c r="AQ109" i="1"/>
  <c r="AQ106" i="1"/>
  <c r="AQ104" i="1"/>
  <c r="AQ103" i="1"/>
  <c r="AQ100" i="1"/>
  <c r="AQ97" i="1"/>
  <c r="AQ94" i="1"/>
  <c r="AQ91" i="1"/>
  <c r="AQ105" i="1"/>
  <c r="AQ93" i="1"/>
  <c r="AQ117" i="1"/>
  <c r="AQ99" i="1"/>
  <c r="AQ114" i="1"/>
  <c r="AQ123" i="1"/>
  <c r="AQ102" i="1"/>
  <c r="AQ126" i="1"/>
  <c r="AQ120" i="1"/>
  <c r="AQ108" i="1"/>
  <c r="AQ111" i="1"/>
  <c r="AQ90" i="1"/>
  <c r="AQ125" i="1"/>
  <c r="AQ116" i="1"/>
  <c r="AQ113" i="1"/>
  <c r="AQ101" i="1"/>
  <c r="AQ95" i="1"/>
  <c r="X133" i="1"/>
  <c r="Y133" i="1"/>
  <c r="Z133" i="1"/>
  <c r="AA133" i="1"/>
  <c r="AC133" i="1"/>
  <c r="AD133" i="1"/>
  <c r="AE133" i="1"/>
  <c r="AF133" i="1"/>
  <c r="AG133" i="1"/>
  <c r="AH133" i="1"/>
  <c r="AI133" i="1"/>
  <c r="AJ133" i="1"/>
  <c r="AK133" i="1"/>
  <c r="AL133" i="1"/>
  <c r="AM133" i="1"/>
  <c r="W65" i="1"/>
  <c r="J133" i="1"/>
  <c r="AB133" i="1" s="1"/>
  <c r="X65" i="1"/>
  <c r="Y65" i="1"/>
  <c r="Z65" i="1"/>
  <c r="AA65" i="1"/>
  <c r="AC65" i="1"/>
  <c r="AD65" i="1"/>
  <c r="AE65" i="1"/>
  <c r="AF65" i="1"/>
  <c r="AG65" i="1"/>
  <c r="AH65" i="1"/>
  <c r="AI65" i="1"/>
  <c r="AJ65" i="1"/>
  <c r="AK65" i="1"/>
  <c r="AL65" i="1"/>
  <c r="AM65" i="1"/>
  <c r="W137" i="1"/>
  <c r="J65" i="1"/>
  <c r="AB65" i="1" s="1"/>
  <c r="X137" i="1"/>
  <c r="Y137" i="1"/>
  <c r="Z137" i="1"/>
  <c r="AA137" i="1"/>
  <c r="AC137" i="1"/>
  <c r="AD137" i="1"/>
  <c r="AF137" i="1"/>
  <c r="AG137" i="1"/>
  <c r="AH137" i="1"/>
  <c r="AI137" i="1"/>
  <c r="W55" i="1"/>
  <c r="U137" i="1"/>
  <c r="AM137" i="1" s="1"/>
  <c r="AJ137" i="1"/>
  <c r="J137" i="1"/>
  <c r="AB137" i="1" s="1"/>
  <c r="X55" i="1"/>
  <c r="Y55" i="1"/>
  <c r="Z55" i="1"/>
  <c r="AA55" i="1"/>
  <c r="AC55" i="1"/>
  <c r="AD55" i="1"/>
  <c r="AE55" i="1"/>
  <c r="AF55" i="1"/>
  <c r="AH55" i="1"/>
  <c r="AI55" i="1"/>
  <c r="AJ55" i="1"/>
  <c r="AK55" i="1"/>
  <c r="AL55" i="1"/>
  <c r="AM55" i="1"/>
  <c r="W136" i="1"/>
  <c r="O55" i="1"/>
  <c r="AG55" i="1" s="1"/>
  <c r="J55" i="1"/>
  <c r="AB55" i="1" s="1"/>
  <c r="AJ136" i="1"/>
  <c r="X136" i="1"/>
  <c r="Y136" i="1"/>
  <c r="Z136" i="1"/>
  <c r="AA136" i="1"/>
  <c r="AC136" i="1"/>
  <c r="AF136" i="1"/>
  <c r="AG136" i="1"/>
  <c r="AH136" i="1"/>
  <c r="AI136" i="1"/>
  <c r="W40" i="1"/>
  <c r="U136" i="1"/>
  <c r="AM136" i="1" s="1"/>
  <c r="J136" i="1"/>
  <c r="AB136" i="1" s="1"/>
  <c r="AQ89" i="1"/>
  <c r="Y40" i="1"/>
  <c r="Z40" i="1"/>
  <c r="AA40" i="1"/>
  <c r="AC40" i="1"/>
  <c r="AE40" i="1"/>
  <c r="AX40" i="1" s="1"/>
  <c r="AF40" i="1"/>
  <c r="AH40" i="1"/>
  <c r="AI40" i="1"/>
  <c r="AJ40" i="1"/>
  <c r="AK40" i="1"/>
  <c r="AL40" i="1"/>
  <c r="AM40" i="1"/>
  <c r="W135" i="1"/>
  <c r="O40" i="1"/>
  <c r="AG40" i="1" s="1"/>
  <c r="J40" i="1"/>
  <c r="AB40" i="1" s="1"/>
  <c r="X135" i="1"/>
  <c r="Y135" i="1"/>
  <c r="Z135" i="1"/>
  <c r="AA135" i="1"/>
  <c r="AF135" i="1"/>
  <c r="AQ135" i="1" s="1"/>
  <c r="W23" i="1"/>
  <c r="J135" i="1"/>
  <c r="AB135" i="1" s="1"/>
  <c r="AC23" i="1"/>
  <c r="AD23" i="1"/>
  <c r="AE23" i="1"/>
  <c r="AF23" i="1"/>
  <c r="AH23" i="1"/>
  <c r="AI23" i="1"/>
  <c r="AJ23" i="1"/>
  <c r="AK23" i="1"/>
  <c r="AL23" i="1"/>
  <c r="AM23" i="1"/>
  <c r="O23" i="1"/>
  <c r="AG23" i="1" s="1"/>
  <c r="X23" i="1"/>
  <c r="Y23" i="1"/>
  <c r="Z23" i="1"/>
  <c r="AA23" i="1"/>
  <c r="W6" i="1"/>
  <c r="J23" i="1"/>
  <c r="AB23" i="1" s="1"/>
  <c r="AO6" i="1"/>
  <c r="AO23" i="1"/>
  <c r="AO40" i="1"/>
  <c r="AO136" i="1"/>
  <c r="AO55" i="1"/>
  <c r="AO137" i="1"/>
  <c r="AO65" i="1"/>
  <c r="AO133" i="1"/>
  <c r="AO89" i="1"/>
  <c r="AP89" i="1"/>
  <c r="X6" i="1"/>
  <c r="Y6" i="1"/>
  <c r="Z6" i="1"/>
  <c r="AA6" i="1"/>
  <c r="AB6" i="1"/>
  <c r="W5" i="1"/>
  <c r="X5" i="1"/>
  <c r="Y5" i="1"/>
  <c r="Z5" i="1"/>
  <c r="AA5" i="1"/>
  <c r="AB5" i="1"/>
  <c r="W4" i="1"/>
  <c r="AO5" i="1"/>
  <c r="AO4" i="1"/>
  <c r="X4" i="1"/>
  <c r="Y4" i="1"/>
  <c r="Z4" i="1"/>
  <c r="AA4" i="1"/>
  <c r="AB4" i="1"/>
  <c r="B238" i="1" l="1"/>
  <c r="B236" i="1"/>
  <c r="B237" i="1"/>
  <c r="Z46" i="1"/>
  <c r="J46" i="1"/>
  <c r="AB46" i="1" s="1"/>
  <c r="AY65" i="1"/>
  <c r="AY23" i="1"/>
  <c r="AY55" i="1"/>
  <c r="AY40" i="1"/>
  <c r="AX65" i="1"/>
  <c r="AX23" i="1"/>
  <c r="AX55" i="1"/>
  <c r="AZ65" i="1"/>
  <c r="AZ4" i="1"/>
  <c r="AZ6" i="1"/>
  <c r="AZ55" i="1"/>
  <c r="AZ40" i="1"/>
  <c r="AZ5" i="1"/>
  <c r="AZ23" i="1"/>
  <c r="AQ136" i="1"/>
  <c r="AQ40" i="1"/>
  <c r="AQ65" i="1"/>
  <c r="AQ55" i="1"/>
  <c r="AQ137" i="1"/>
  <c r="AP65" i="1"/>
  <c r="AP136" i="1"/>
  <c r="AQ133" i="1"/>
  <c r="AP133" i="1"/>
  <c r="AP137" i="1"/>
  <c r="AP40" i="1"/>
  <c r="AP55" i="1"/>
  <c r="AP135" i="1"/>
  <c r="AQ23" i="1"/>
  <c r="AP23" i="1"/>
  <c r="AP5" i="1"/>
  <c r="AP4" i="1"/>
  <c r="AP6" i="1"/>
  <c r="AZ46" i="1" l="1"/>
  <c r="AP46" i="1"/>
</calcChain>
</file>

<file path=xl/sharedStrings.xml><?xml version="1.0" encoding="utf-8"?>
<sst xmlns="http://schemas.openxmlformats.org/spreadsheetml/2006/main" count="174" uniqueCount="151">
  <si>
    <t xml:space="preserve">Consumer expenditure surveys </t>
  </si>
  <si>
    <t>Sample</t>
  </si>
  <si>
    <t>Mass. only, families in cities of 2,500+</t>
  </si>
  <si>
    <t xml:space="preserve">Food </t>
  </si>
  <si>
    <t>Clothing</t>
  </si>
  <si>
    <t xml:space="preserve">Housing </t>
  </si>
  <si>
    <t>Spending except food, housing, clothing, &amp; fuel</t>
  </si>
  <si>
    <t xml:space="preserve">TOTAL SPENDING </t>
  </si>
  <si>
    <t xml:space="preserve">AVERAGE SPENDING  </t>
  </si>
  <si>
    <t xml:space="preserve">MATH CHECK </t>
  </si>
  <si>
    <t>1888-1891</t>
  </si>
  <si>
    <t xml:space="preserve">1874-5 </t>
  </si>
  <si>
    <t xml:space="preserve">9 industries </t>
  </si>
  <si>
    <t>% of income spent</t>
  </si>
  <si>
    <t>Sample size (families or households)</t>
  </si>
  <si>
    <t xml:space="preserve">Average income </t>
  </si>
  <si>
    <t>Alcohol</t>
  </si>
  <si>
    <t>Tobacco</t>
  </si>
  <si>
    <t>Misc. household operation</t>
  </si>
  <si>
    <t xml:space="preserve">Furnishings and equipment </t>
  </si>
  <si>
    <t xml:space="preserve">Transportation </t>
  </si>
  <si>
    <t>Personal care</t>
  </si>
  <si>
    <t>Reading</t>
  </si>
  <si>
    <t>Education</t>
  </si>
  <si>
    <t>Other</t>
  </si>
  <si>
    <t xml:space="preserve">MATH CHECK for extra columns </t>
  </si>
  <si>
    <t>% OF TOTAL SPENDING</t>
  </si>
  <si>
    <t xml:space="preserve">"normal" families </t>
  </si>
  <si>
    <t>Families in cities of 2,500</t>
  </si>
  <si>
    <t>1960-1961</t>
  </si>
  <si>
    <t>Urban only</t>
  </si>
  <si>
    <t>1972-1973</t>
  </si>
  <si>
    <t xml:space="preserve">Household operations </t>
  </si>
  <si>
    <t xml:space="preserve">Household maintenance, repair, etc. </t>
  </si>
  <si>
    <t xml:space="preserve">Entertainment/Recreation except reading </t>
  </si>
  <si>
    <t>African American (1950)</t>
  </si>
  <si>
    <t>African American (1918)</t>
  </si>
  <si>
    <t>African American (1935)</t>
  </si>
  <si>
    <t>1917-1919, Families with at least 1 child</t>
  </si>
  <si>
    <t>1935-1936, families in cities with 50,000+</t>
  </si>
  <si>
    <t>1960-1961, urban and rural</t>
  </si>
  <si>
    <t>Housing + ultilities + operations + furnishings/equipment</t>
  </si>
  <si>
    <t>Alcohol + tobacco</t>
  </si>
  <si>
    <t>Reading + education</t>
  </si>
  <si>
    <t>urban/rural</t>
  </si>
  <si>
    <t xml:space="preserve">urban </t>
  </si>
  <si>
    <t>Notes</t>
  </si>
  <si>
    <t>Surveys that cover multiple years are shown above in  the first year of the survey, except for the 1917-1919 survey, which is listed in the middle year of 1918.</t>
  </si>
  <si>
    <t xml:space="preserve">Sources </t>
  </si>
  <si>
    <t>For 1941 to 1944</t>
  </si>
  <si>
    <t xml:space="preserve">www.bls.gov/opub/mlr/2015/article/consumer-spending-in-world-war-ii-the-forgotten-consumer-expenditure-surveys.htm </t>
  </si>
  <si>
    <r>
      <t>Steven W. Henderson, "Consumer spending in World War II: the forgotten consumer expenditure surveys," </t>
    </r>
    <r>
      <rPr>
        <i/>
        <sz val="11"/>
        <color theme="1"/>
        <rFont val="Aptos Narrow"/>
        <family val="2"/>
        <scheme val="minor"/>
      </rPr>
      <t>Monthly Labor Review</t>
    </r>
    <r>
      <rPr>
        <sz val="11"/>
        <color theme="1"/>
        <rFont val="Aptos Narrow"/>
        <family val="2"/>
        <scheme val="minor"/>
      </rPr>
      <t>, U.S. Bureau of Labor Statistics, August 2015</t>
    </r>
  </si>
  <si>
    <r>
      <t>For 1960</t>
    </r>
    <r>
      <rPr>
        <sz val="11"/>
        <color theme="1"/>
        <rFont val="Aptos Narrow"/>
        <family val="2"/>
        <scheme val="minor"/>
      </rPr>
      <t xml:space="preserve">, U.S. BLS at link below </t>
    </r>
  </si>
  <si>
    <r>
      <t>Good general report through the 1950s from U.S. Department of Labor, H</t>
    </r>
    <r>
      <rPr>
        <i/>
        <sz val="11"/>
        <color theme="1"/>
        <rFont val="Aptos Narrow"/>
        <family val="2"/>
        <scheme val="minor"/>
      </rPr>
      <t>ow American Buying Habits Change</t>
    </r>
    <r>
      <rPr>
        <sz val="11"/>
        <color theme="1"/>
        <rFont val="Aptos Narrow"/>
        <family val="2"/>
        <scheme val="minor"/>
      </rPr>
      <t xml:space="preserve">, 1959, 267 pp. </t>
    </r>
  </si>
  <si>
    <t xml:space="preserve">https://fraser.stlouisfed.org/title/american-buying-habits-change-7098 </t>
  </si>
  <si>
    <r>
      <t xml:space="preserve">Susan B. Carter et al, </t>
    </r>
    <r>
      <rPr>
        <i/>
        <sz val="11"/>
        <color theme="1"/>
        <rFont val="Aptos Narrow"/>
        <family val="2"/>
        <scheme val="minor"/>
      </rPr>
      <t>Historical Statistics of the United States Millennial Edition, Volume 3, Economic Structure and Performance</t>
    </r>
    <r>
      <rPr>
        <sz val="11"/>
        <color theme="1"/>
        <rFont val="Aptos Narrow"/>
        <family val="2"/>
        <scheme val="minor"/>
      </rPr>
      <t xml:space="preserve"> (2006), pp. 3:276-284</t>
    </r>
  </si>
  <si>
    <t xml:space="preserve">For all years except 1941, 1942, 1944, 1960, and 1984 forward </t>
  </si>
  <si>
    <t xml:space="preserve">For 1984 forward, BLS Consumer Expenditure Survey customized data tool, at </t>
  </si>
  <si>
    <t xml:space="preserve">https://data.bls.gov/PDQWeb/cx </t>
  </si>
  <si>
    <t xml:space="preserve">www.ars.usda.gov/ARSUserFiles/80400530/pdf/hist/bls_1945_bul_822.pdf </t>
  </si>
  <si>
    <t xml:space="preserve">From 1935 to 1944, alcohol was included in food spending -- to create a consistent series, I have instead assumed that the percentage of spending on alcohol for these years was identical with the 1941 level of 1.3%. </t>
  </si>
  <si>
    <t xml:space="preserve">% reporting spending </t>
  </si>
  <si>
    <t xml:space="preserve">Weighted number </t>
  </si>
  <si>
    <t>reading 1941</t>
  </si>
  <si>
    <t>reading 1942</t>
  </si>
  <si>
    <t>Under $500</t>
  </si>
  <si>
    <t>500-1,000</t>
  </si>
  <si>
    <t>1,000 to 1,500</t>
  </si>
  <si>
    <t>1500 to 2,000</t>
  </si>
  <si>
    <t>2000 to 2,500</t>
  </si>
  <si>
    <t>2500 to 3,000</t>
  </si>
  <si>
    <t>3000 to 5,000</t>
  </si>
  <si>
    <t>5000 to 10,000</t>
  </si>
  <si>
    <t>Over 10,000</t>
  </si>
  <si>
    <t xml:space="preserve">newspapers </t>
  </si>
  <si>
    <t>magazines</t>
  </si>
  <si>
    <t>books (except for school)</t>
  </si>
  <si>
    <t>TOTAL</t>
  </si>
  <si>
    <t>Reading spending (1941)</t>
  </si>
  <si>
    <t>% families owning auto (1941)</t>
  </si>
  <si>
    <t xml:space="preserve">% of reading spending </t>
  </si>
  <si>
    <t>% buying records (1941)</t>
  </si>
  <si>
    <t>U.S. BLS, Family Spending and Saving in Wartime, April 2, 1945, Bulletin 822, pp. 33 (population weights); 78 (alcohol spending for 1941); 79 (utilities spending for 1941); 180 (% owning auto 1941); 184 (% buying records 1941)</t>
  </si>
  <si>
    <t xml:space="preserve">www.bls.gov/cex/research_papers/pdf/1960-to-1961-biennial-report.pdf </t>
  </si>
  <si>
    <t xml:space="preserve">1972-3 SURVEY </t>
  </si>
  <si>
    <t xml:space="preserve">https://fraser.stlouisfed.org/files/docs/publications/bls/bls_1997_1978_v1.pdf </t>
  </si>
  <si>
    <r>
      <t xml:space="preserve">BLS, </t>
    </r>
    <r>
      <rPr>
        <i/>
        <sz val="11"/>
        <color theme="1"/>
        <rFont val="Aptos Narrow"/>
        <family val="2"/>
        <scheme val="minor"/>
      </rPr>
      <t>Consumer Expenditure Survey:  Interview Survey, 1972-73, Volume 1, U.S. Tables</t>
    </r>
    <r>
      <rPr>
        <sz val="11"/>
        <color theme="1"/>
        <rFont val="Aptos Narrow"/>
        <family val="2"/>
        <scheme val="minor"/>
      </rPr>
      <t>, 1978, Bulletin 1997</t>
    </r>
  </si>
  <si>
    <t xml:space="preserve">Diary Survey </t>
  </si>
  <si>
    <t>Source:  1972 diary report, p. 54</t>
  </si>
  <si>
    <t>84.0 report reading expenditures (same as 1941-2); 57.6.0% had a newspaper subscription, and 44.6% a magazine subscription [71.2% in toto had something kind of periodical subscription]</t>
  </si>
  <si>
    <t xml:space="preserve">Also </t>
  </si>
  <si>
    <t xml:space="preserve">www.bls.gov/cex/1973/Standard/age.pdf </t>
  </si>
  <si>
    <t>Telephone</t>
  </si>
  <si>
    <t xml:space="preserve">Utilities minus phone </t>
  </si>
  <si>
    <t>Utilities</t>
  </si>
  <si>
    <t xml:space="preserve">1901 Survey </t>
  </si>
  <si>
    <r>
      <t xml:space="preserve"> U.S. Department of Commerce, Bureau of Labor, </t>
    </r>
    <r>
      <rPr>
        <i/>
        <sz val="11"/>
        <color theme="1"/>
        <rFont val="Aptos Narrow"/>
        <family val="2"/>
        <scheme val="minor"/>
      </rPr>
      <t>Cost of Living and Retail Prices of Food</t>
    </r>
    <r>
      <rPr>
        <sz val="11"/>
        <color theme="1"/>
        <rFont val="Aptos Narrow"/>
        <family val="2"/>
        <scheme val="minor"/>
      </rPr>
      <t>, Eighteenth Annual Report of the U.S. Commissioner of Labor, 1903</t>
    </r>
  </si>
  <si>
    <t xml:space="preserve">https://fraser.stlouisfed.org/title/annual-report-commissioner-labor-6306/eighteenth-annual-report-commissioner-labor-608452 </t>
  </si>
  <si>
    <t xml:space="preserve">1917-1919 Survey </t>
  </si>
  <si>
    <t>7.9% of income came from boarders and lodgers, and another 9.5% from the children of their families, but only 1.5% from wives.  [64]</t>
  </si>
  <si>
    <t>Only 1.2% of native-born Americans  had live-in servants.  [261]</t>
  </si>
  <si>
    <t>Immigrant families were more likely to drink alcohol than native-born ones:  57.9 vs. 46.2%.  [502-3]</t>
  </si>
  <si>
    <t>Almost all families spent $ on reading material: 94.7% of all families , immigrant families % was higher than native-born [502-3], and spent more on them. [511]</t>
  </si>
  <si>
    <r>
      <t xml:space="preserve">U.S. Bureau of Labor Statistics, </t>
    </r>
    <r>
      <rPr>
        <i/>
        <sz val="11"/>
        <color theme="1"/>
        <rFont val="Aptos Narrow"/>
        <family val="2"/>
        <scheme val="minor"/>
      </rPr>
      <t>Cost of Living in the United States</t>
    </r>
    <r>
      <rPr>
        <sz val="11"/>
        <color theme="1"/>
        <rFont val="Aptos Narrow"/>
        <family val="2"/>
        <scheme val="minor"/>
      </rPr>
      <t xml:space="preserve">, May 1924, Bulletin 357 </t>
    </r>
  </si>
  <si>
    <t xml:space="preserve">https://fraser.stlouisfed.org/files/docs/publications/bls/bls_0357_1924.pdf </t>
  </si>
  <si>
    <t>.4% of income came fromlodgers, and another 5.9% from the children of their families, but only .9% from wives.  [4]</t>
  </si>
  <si>
    <t xml:space="preserve">88.8% of households used streetcars; 77.5% went to movies; 18.0% went to plays or concerts; 95.7% purchased newspapers; 46.5% purchased magazines; 15.4% purchased books; 50.0% had school expenses  [449-451]  </t>
  </si>
  <si>
    <t>29.7% purchased alcohol; 80.4% purchased tobacco.  [453]</t>
  </si>
  <si>
    <t>28.3% had phones expenses. [455]</t>
  </si>
  <si>
    <t>16.0% paid for servants.  [455]</t>
  </si>
  <si>
    <t>15.4% had expenses for vehicles (including bikes).  [455]</t>
  </si>
  <si>
    <t xml:space="preserve">1935-36 Survey </t>
  </si>
  <si>
    <r>
      <t xml:space="preserve">U.S. Bureau of Labor Statistics, </t>
    </r>
    <r>
      <rPr>
        <i/>
        <sz val="11"/>
        <color theme="1"/>
        <rFont val="Aptos Narrow"/>
        <family val="2"/>
        <scheme val="minor"/>
      </rPr>
      <t>Money Disbursements of Wage Earners and Clerical Workers, 1934-36, Summary Volume</t>
    </r>
    <r>
      <rPr>
        <sz val="11"/>
        <color theme="1"/>
        <rFont val="Aptos Narrow"/>
        <family val="2"/>
        <scheme val="minor"/>
      </rPr>
      <t>, 1941, Bulletin 638</t>
    </r>
  </si>
  <si>
    <t xml:space="preserve">https://fraser.stlouisfed.org/title/money-disbursements-wage-earners-clerical-workers-1934-36-summary-volume-4151 </t>
  </si>
  <si>
    <t>26% had electric fridges; 30% had phones.  [4]</t>
  </si>
  <si>
    <t xml:space="preserve">74% had a radio.  [6] </t>
  </si>
  <si>
    <t>17.7% had boarders or lodgers; 17.8% for Whites; 16.4% for Blacks.  [18, with breakdown for all three categories, Whites only on 19, Blacks on 20]</t>
  </si>
  <si>
    <t>Only 2.1% of family income from boarders and lodgers -- no difference by Race.  [22-24]</t>
  </si>
  <si>
    <t>44.4% had autos.  [137]</t>
  </si>
  <si>
    <t xml:space="preserve">80.8% had streetcar expenses; only 9.4% for local bus; 6.6% for interurban bus; 9.4% for railroads; only .2% for planes.  [142] </t>
  </si>
  <si>
    <t>[143-144]</t>
  </si>
  <si>
    <t>5.0% bought books (not including school books).  [144]</t>
  </si>
  <si>
    <t xml:space="preserve">Tobacco rates remained very high:  cigarettes 58.9, pipe tobacco 26.3, cigars 15.58, and other forms of tobacco 8.6. </t>
  </si>
  <si>
    <t>Appliance data [90, 242-244 -- 243 appears to be mislabeled, and is apparently for Whites]</t>
  </si>
  <si>
    <t>Blacks with autos 15.1% [314]</t>
  </si>
  <si>
    <t>Virtually all families purchased newspapers:  71.2% home delivery (65.6% Blacks), and 39.3% street purchases (27.4% Blacks).  45/1% purchased magazines (15.1% Blacks).  [317 for Blacks]</t>
  </si>
  <si>
    <t>79.8% of adults spent money for movies (52.4 for Blacks), and 29.9% of children (20.4 for Blacks).  Only 7.9% spent on plays or concerts; 19.8% for spectator sports.  [317 for Blacks]</t>
  </si>
  <si>
    <t xml:space="preserve">Only 5.5% spent $ for records (2.7 for Blacks). </t>
  </si>
  <si>
    <t xml:space="preserve">For 1944:  </t>
  </si>
  <si>
    <r>
      <t xml:space="preserve">U.S. Bureau of Labor Statistics, "Expenditures and Savings of City Families in 1944," </t>
    </r>
    <r>
      <rPr>
        <i/>
        <sz val="11"/>
        <color theme="1"/>
        <rFont val="Aptos Narrow"/>
        <family val="2"/>
        <scheme val="minor"/>
      </rPr>
      <t>Monthly Labor Review</t>
    </r>
    <r>
      <rPr>
        <sz val="11"/>
        <color theme="1"/>
        <rFont val="Aptos Narrow"/>
        <family val="2"/>
        <scheme val="minor"/>
      </rPr>
      <t>, January 1946, pp. 1-5</t>
    </r>
  </si>
  <si>
    <t xml:space="preserve">https://fraser.stlouisfed.org/title/monthly-labor-review-6130?browse=1940s </t>
  </si>
  <si>
    <t xml:space="preserve">Combined interview and diary surveys </t>
  </si>
  <si>
    <t xml:space="preserve">https://fraser.stlouisfed.org/title/consumer-expenditure-survey-integrated-diary-interview-survey-data-1972-73-4688 </t>
  </si>
  <si>
    <t>Health care</t>
  </si>
  <si>
    <t xml:space="preserve">high from 1984-2022 </t>
  </si>
  <si>
    <t xml:space="preserve">low from 1984-2022 </t>
  </si>
  <si>
    <t>African American (1960)</t>
  </si>
  <si>
    <t>1960-1961 survey</t>
  </si>
  <si>
    <r>
      <t xml:space="preserve">U.S. BLS, </t>
    </r>
    <r>
      <rPr>
        <i/>
        <sz val="11"/>
        <color theme="1"/>
        <rFont val="Aptos Narrow"/>
        <family val="2"/>
        <scheme val="minor"/>
      </rPr>
      <t>Consumer Expenditures and Income, Total United States, Urban and Rural, 1960-61</t>
    </r>
    <r>
      <rPr>
        <sz val="11"/>
        <color theme="1"/>
        <rFont val="Aptos Narrow"/>
        <family val="2"/>
        <scheme val="minor"/>
      </rPr>
      <t xml:space="preserve">, February 1965, Report 237-93, pp. 3 (African Americans); </t>
    </r>
  </si>
  <si>
    <t>1982-1983</t>
  </si>
  <si>
    <t xml:space="preserve">1982/3 combined data, and 1972/3 data adjusted to modern categories, from </t>
  </si>
  <si>
    <r>
      <t xml:space="preserve">Raymond Gieseman and John Rogers, "Consumer Expenditures:  Results from the Diary and Interview Surveys," U.S. BLS, </t>
    </r>
    <r>
      <rPr>
        <i/>
        <sz val="11"/>
        <color theme="1"/>
        <rFont val="Aptos Narrow"/>
        <family val="2"/>
        <scheme val="minor"/>
      </rPr>
      <t>Monthly Labor Review</t>
    </r>
    <r>
      <rPr>
        <sz val="11"/>
        <color theme="1"/>
        <rFont val="Aptos Narrow"/>
        <family val="2"/>
        <scheme val="minor"/>
      </rPr>
      <t>, June 1986, Table 3, p. 17</t>
    </r>
  </si>
  <si>
    <t xml:space="preserve">https://fraser.stlouisfed.org/title/monthly-labor-review-6130?browse=1980s#611473 </t>
  </si>
  <si>
    <t>NOTES</t>
  </si>
  <si>
    <t>Income is pre-tax income</t>
  </si>
  <si>
    <t>For urban vs. rural spending in 1972, 1980 and 1985, see MLR</t>
  </si>
  <si>
    <t xml:space="preserve">https://fraser.stlouisfed.org/title/monthly-labor-review-6130?browse=1980s#611494 </t>
  </si>
  <si>
    <t>For 1980, 1981, 1982, 1983</t>
  </si>
  <si>
    <t>BLS, Consumer Expenditure Survey:  Interview Survey, 1982-83, February 1986, Bulletin 2246, Text Table 1, p. 3</t>
  </si>
  <si>
    <r>
      <t xml:space="preserve">BLS, </t>
    </r>
    <r>
      <rPr>
        <i/>
        <sz val="11"/>
        <color theme="1"/>
        <rFont val="Aptos Narrow"/>
        <family val="2"/>
        <scheme val="minor"/>
      </rPr>
      <t xml:space="preserve">Consumer Expenditure Survey:  Integrated Diary and Interview Survey Data, 1972-73, Total Expenditures and Income for the United States and Selected Areas, </t>
    </r>
    <r>
      <rPr>
        <sz val="11"/>
        <color theme="1"/>
        <rFont val="Aptos Narrow"/>
        <family val="2"/>
        <scheme val="minor"/>
      </rPr>
      <t>1978, Bulletin 1992</t>
    </r>
  </si>
  <si>
    <t xml:space="preserve">https://babel.hathitrust.org/cgi/pt?id=umn.31951003050643h&amp;seq=3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</si>
</sst>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"/>
    <numFmt numFmtId="165" formatCode="#,##0.0"/>
    <numFmt numFmtId="166" formatCode=".0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B050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2" fillId="0" borderId="0" xfId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vertical="center" wrapText="1"/>
    </xf>
    <xf numFmtId="166" fontId="1" fillId="0" borderId="0" xfId="0" applyNumberFormat="1" applyFont="1" applyAlignment="1">
      <alignment horizontal="left" vertical="center" wrapText="1"/>
    </xf>
    <xf numFmtId="166" fontId="0" fillId="0" borderId="0" xfId="0" applyNumberFormat="1" applyAlignment="1">
      <alignment vertical="center"/>
    </xf>
    <xf numFmtId="166" fontId="6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1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6" fontId="0" fillId="0" borderId="0" xfId="0" applyNumberForma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2" fillId="0" borderId="0" xfId="1" applyAlignment="1">
      <alignment vertical="center"/>
    </xf>
    <xf numFmtId="165" fontId="0" fillId="0" borderId="0" xfId="0" applyNumberFormat="1" applyAlignment="1">
      <alignment vertical="center"/>
    </xf>
    <xf numFmtId="3" fontId="15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1" fontId="0" fillId="0" borderId="0" xfId="0" applyNumberFormat="1" applyAlignment="1">
      <alignment vertical="center"/>
    </xf>
    <xf numFmtId="3" fontId="17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3300"/>
      <color rgb="FF004376"/>
      <color rgb="FFFF00FF"/>
      <color rgb="FFFF5050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Food % of spending 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Sheet1!$A$6:$A$129</c:f>
              <c:numCache>
                <c:formatCode>General</c:formatCod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numCache>
            </c:numRef>
          </c:cat>
          <c:val>
            <c:numRef>
              <c:f>Sheet1!$X$6:$X$129</c:f>
              <c:numCache>
                <c:formatCode>.0</c:formatCode>
                <c:ptCount val="124"/>
                <c:pt idx="0">
                  <c:v>43.042071197411005</c:v>
                </c:pt>
                <c:pt idx="17">
                  <c:v>40.606508875739642</c:v>
                </c:pt>
                <c:pt idx="34">
                  <c:v>33.423171565276832</c:v>
                </c:pt>
                <c:pt idx="40">
                  <c:v>29.63565426170468</c:v>
                </c:pt>
                <c:pt idx="41">
                  <c:v>31.870731707317074</c:v>
                </c:pt>
                <c:pt idx="43">
                  <c:v>34.568661679135495</c:v>
                </c:pt>
                <c:pt idx="49">
                  <c:v>30.700636942675157</c:v>
                </c:pt>
                <c:pt idx="59">
                  <c:v>24.469982167624334</c:v>
                </c:pt>
                <c:pt idx="71">
                  <c:v>17.779428935357181</c:v>
                </c:pt>
                <c:pt idx="79">
                  <c:v>19.045625784847218</c:v>
                </c:pt>
                <c:pt idx="80">
                  <c:v>18.584121198314158</c:v>
                </c:pt>
                <c:pt idx="81">
                  <c:v>16.598703471350898</c:v>
                </c:pt>
                <c:pt idx="83">
                  <c:v>14.97155858930603</c:v>
                </c:pt>
                <c:pt idx="84">
                  <c:v>14.802043422733076</c:v>
                </c:pt>
                <c:pt idx="85">
                  <c:v>14.447330931031594</c:v>
                </c:pt>
                <c:pt idx="86">
                  <c:v>15.007782419922993</c:v>
                </c:pt>
                <c:pt idx="87">
                  <c:v>14.475513672176735</c:v>
                </c:pt>
                <c:pt idx="88">
                  <c:v>14.929881337648329</c:v>
                </c:pt>
                <c:pt idx="89">
                  <c:v>15.136887354215849</c:v>
                </c:pt>
                <c:pt idx="90">
                  <c:v>14.422232727763895</c:v>
                </c:pt>
                <c:pt idx="91">
                  <c:v>14.316826375393688</c:v>
                </c:pt>
                <c:pt idx="92">
                  <c:v>14.332725140101655</c:v>
                </c:pt>
                <c:pt idx="93">
                  <c:v>13.901232233462544</c:v>
                </c:pt>
                <c:pt idx="94">
                  <c:v>13.962930820728985</c:v>
                </c:pt>
                <c:pt idx="95">
                  <c:v>13.900642068822677</c:v>
                </c:pt>
                <c:pt idx="96">
                  <c:v>13.788448835405957</c:v>
                </c:pt>
                <c:pt idx="97">
                  <c:v>13.53595047136626</c:v>
                </c:pt>
                <c:pt idx="98">
                  <c:v>13.599135018245709</c:v>
                </c:pt>
                <c:pt idx="99">
                  <c:v>13.557629123406493</c:v>
                </c:pt>
                <c:pt idx="100">
                  <c:v>13.46475024039678</c:v>
                </c:pt>
                <c:pt idx="101">
                  <c:v>13.213855495734691</c:v>
                </c:pt>
                <c:pt idx="102">
                  <c:v>13.082784134061786</c:v>
                </c:pt>
                <c:pt idx="103">
                  <c:v>13.321811268579328</c:v>
                </c:pt>
                <c:pt idx="104">
                  <c:v>12.779848736236508</c:v>
                </c:pt>
                <c:pt idx="105">
                  <c:v>12.626554816314725</c:v>
                </c:pt>
                <c:pt idx="106">
                  <c:v>12.355453483218502</c:v>
                </c:pt>
                <c:pt idx="107">
                  <c:v>12.761953808976745</c:v>
                </c:pt>
                <c:pt idx="108">
                  <c:v>12.986324821162901</c:v>
                </c:pt>
                <c:pt idx="109">
                  <c:v>12.739819992101269</c:v>
                </c:pt>
                <c:pt idx="110">
                  <c:v>12.992656674378836</c:v>
                </c:pt>
                <c:pt idx="111">
                  <c:v>12.828039345282066</c:v>
                </c:pt>
                <c:pt idx="112">
                  <c:v>12.919765166340508</c:v>
                </c:pt>
                <c:pt idx="113">
                  <c:v>12.634825684643424</c:v>
                </c:pt>
                <c:pt idx="114">
                  <c:v>12.546000214369931</c:v>
                </c:pt>
                <c:pt idx="115">
                  <c:v>12.568267871787267</c:v>
                </c:pt>
                <c:pt idx="116">
                  <c:v>12.868797868797868</c:v>
                </c:pt>
                <c:pt idx="117">
                  <c:v>12.941003528028224</c:v>
                </c:pt>
                <c:pt idx="118">
                  <c:v>12.959261374452694</c:v>
                </c:pt>
                <c:pt idx="119">
                  <c:v>11.918737363855737</c:v>
                </c:pt>
                <c:pt idx="120">
                  <c:v>12.384950992110925</c:v>
                </c:pt>
                <c:pt idx="121">
                  <c:v>12.804418435731222</c:v>
                </c:pt>
                <c:pt idx="122">
                  <c:v>12.920548654244307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F1-486F-A895-D02AE1C0071A}"/>
            </c:ext>
          </c:extLst>
        </c:ser>
        <c:ser>
          <c:idx val="1"/>
          <c:order val="1"/>
          <c:tx>
            <c:v>Housing etc. % of spending</c:v>
          </c:tx>
          <c:spPr>
            <a:ln w="28575" cap="rnd">
              <a:solidFill>
                <a:srgbClr val="663300"/>
              </a:solidFill>
              <a:round/>
            </a:ln>
            <a:effectLst/>
          </c:spPr>
          <c:marker>
            <c:symbol val="none"/>
          </c:marker>
          <c:cat>
            <c:numRef>
              <c:f>Sheet1!$A$6:$A$129</c:f>
              <c:numCache>
                <c:formatCode>General</c:formatCod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numCache>
            </c:numRef>
          </c:cat>
          <c:val>
            <c:numRef>
              <c:f>Sheet1!$AZ$6:$AZ$129</c:f>
              <c:numCache>
                <c:formatCode>.0</c:formatCode>
                <c:ptCount val="124"/>
                <c:pt idx="0">
                  <c:v>23.786407766990294</c:v>
                </c:pt>
                <c:pt idx="17">
                  <c:v>26.627218934911244</c:v>
                </c:pt>
                <c:pt idx="34">
                  <c:v>33.151059466848942</c:v>
                </c:pt>
                <c:pt idx="40">
                  <c:v>28.091236494597837</c:v>
                </c:pt>
                <c:pt idx="41">
                  <c:v>28.292682926829265</c:v>
                </c:pt>
                <c:pt idx="43">
                  <c:v>25.311720698254362</c:v>
                </c:pt>
                <c:pt idx="49">
                  <c:v>25.757961783439491</c:v>
                </c:pt>
                <c:pt idx="59">
                  <c:v>28.947889835545865</c:v>
                </c:pt>
                <c:pt idx="71">
                  <c:v>27.990659165693661</c:v>
                </c:pt>
                <c:pt idx="79">
                  <c:v>29.294982957603295</c:v>
                </c:pt>
                <c:pt idx="80">
                  <c:v>29.610433990203898</c:v>
                </c:pt>
                <c:pt idx="81">
                  <c:v>30.682768716018405</c:v>
                </c:pt>
                <c:pt idx="83">
                  <c:v>30.753128555176332</c:v>
                </c:pt>
                <c:pt idx="84">
                  <c:v>30.668369518944235</c:v>
                </c:pt>
                <c:pt idx="85">
                  <c:v>31.140534651805915</c:v>
                </c:pt>
                <c:pt idx="86">
                  <c:v>31.445072499385599</c:v>
                </c:pt>
                <c:pt idx="87">
                  <c:v>31.72022246253669</c:v>
                </c:pt>
                <c:pt idx="88">
                  <c:v>31.459906508450203</c:v>
                </c:pt>
                <c:pt idx="89">
                  <c:v>31.137028293576684</c:v>
                </c:pt>
                <c:pt idx="90">
                  <c:v>31.701222394813261</c:v>
                </c:pt>
                <c:pt idx="91">
                  <c:v>32.178516384105073</c:v>
                </c:pt>
                <c:pt idx="92">
                  <c:v>32.106086276554151</c:v>
                </c:pt>
                <c:pt idx="93">
                  <c:v>32.662065488008572</c:v>
                </c:pt>
                <c:pt idx="94">
                  <c:v>33.300272749814035</c:v>
                </c:pt>
                <c:pt idx="95">
                  <c:v>32.58277361896026</c:v>
                </c:pt>
                <c:pt idx="96">
                  <c:v>33.183032252505818</c:v>
                </c:pt>
                <c:pt idx="97">
                  <c:v>33.789221893907417</c:v>
                </c:pt>
                <c:pt idx="98">
                  <c:v>33.550479794566833</c:v>
                </c:pt>
                <c:pt idx="99">
                  <c:v>33.279011696674985</c:v>
                </c:pt>
                <c:pt idx="100">
                  <c:v>33.875702211650392</c:v>
                </c:pt>
                <c:pt idx="101">
                  <c:v>33.672591390712199</c:v>
                </c:pt>
                <c:pt idx="102">
                  <c:v>33.973589435774308</c:v>
                </c:pt>
                <c:pt idx="103">
                  <c:v>33.001497868418021</c:v>
                </c:pt>
                <c:pt idx="104">
                  <c:v>33.736990669913162</c:v>
                </c:pt>
                <c:pt idx="105">
                  <c:v>34.796892433571635</c:v>
                </c:pt>
                <c:pt idx="106">
                  <c:v>35.077964462710021</c:v>
                </c:pt>
                <c:pt idx="107">
                  <c:v>34.920572039773404</c:v>
                </c:pt>
                <c:pt idx="108">
                  <c:v>35.410764872521248</c:v>
                </c:pt>
                <c:pt idx="109">
                  <c:v>35.456983100875092</c:v>
                </c:pt>
                <c:pt idx="110">
                  <c:v>34.821446534553864</c:v>
                </c:pt>
                <c:pt idx="111">
                  <c:v>33.884763422884028</c:v>
                </c:pt>
                <c:pt idx="112">
                  <c:v>34.608610567514674</c:v>
                </c:pt>
                <c:pt idx="113">
                  <c:v>34.507897934386392</c:v>
                </c:pt>
                <c:pt idx="114">
                  <c:v>34.284897638357926</c:v>
                </c:pt>
                <c:pt idx="115">
                  <c:v>34.307550034024878</c:v>
                </c:pt>
                <c:pt idx="116">
                  <c:v>34.542124542124547</c:v>
                </c:pt>
                <c:pt idx="117">
                  <c:v>34.375408336600032</c:v>
                </c:pt>
                <c:pt idx="118">
                  <c:v>34.570721492480487</c:v>
                </c:pt>
                <c:pt idx="119">
                  <c:v>37.075262505706647</c:v>
                </c:pt>
                <c:pt idx="120">
                  <c:v>36.091023189098728</c:v>
                </c:pt>
                <c:pt idx="121">
                  <c:v>35.728479997807227</c:v>
                </c:pt>
                <c:pt idx="122">
                  <c:v>35.217391304347821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F1-486F-A895-D02AE1C0071A}"/>
            </c:ext>
          </c:extLst>
        </c:ser>
        <c:ser>
          <c:idx val="2"/>
          <c:order val="2"/>
          <c:tx>
            <c:v>Clothing % of spending </c:v>
          </c:tx>
          <c:spPr>
            <a:ln w="28575" cap="rnd">
              <a:solidFill>
                <a:srgbClr val="FF00FF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Sheet1!$A$6:$A$129</c:f>
              <c:numCache>
                <c:formatCode>General</c:formatCod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numCache>
            </c:numRef>
          </c:cat>
          <c:val>
            <c:numRef>
              <c:f>Sheet1!$Y$6:$Y$129</c:f>
              <c:numCache>
                <c:formatCode>.0</c:formatCode>
                <c:ptCount val="124"/>
                <c:pt idx="0">
                  <c:v>12.944983818770226</c:v>
                </c:pt>
                <c:pt idx="17">
                  <c:v>17.603550295857989</c:v>
                </c:pt>
                <c:pt idx="34">
                  <c:v>10.936431989063568</c:v>
                </c:pt>
                <c:pt idx="40">
                  <c:v>12.304921968787514</c:v>
                </c:pt>
                <c:pt idx="41">
                  <c:v>12.195121951219512</c:v>
                </c:pt>
                <c:pt idx="43">
                  <c:v>16.001662510390691</c:v>
                </c:pt>
                <c:pt idx="49">
                  <c:v>11.54140127388535</c:v>
                </c:pt>
                <c:pt idx="59">
                  <c:v>10.263522884882107</c:v>
                </c:pt>
                <c:pt idx="71">
                  <c:v>7.7698758093620635</c:v>
                </c:pt>
                <c:pt idx="79">
                  <c:v>5.3519105423668005</c:v>
                </c:pt>
                <c:pt idx="80">
                  <c:v>5.5473288529445268</c:v>
                </c:pt>
                <c:pt idx="81">
                  <c:v>5.431827687160184</c:v>
                </c:pt>
                <c:pt idx="83">
                  <c:v>6.0022753128555175</c:v>
                </c:pt>
                <c:pt idx="84">
                  <c:v>6.0451255853554704</c:v>
                </c:pt>
                <c:pt idx="85">
                  <c:v>5.6398223414061848</c:v>
                </c:pt>
                <c:pt idx="86">
                  <c:v>5.9228311624477756</c:v>
                </c:pt>
                <c:pt idx="87">
                  <c:v>5.7508110613316861</c:v>
                </c:pt>
                <c:pt idx="88">
                  <c:v>5.6886012225818048</c:v>
                </c:pt>
                <c:pt idx="89">
                  <c:v>5.7009971459779427</c:v>
                </c:pt>
                <c:pt idx="90">
                  <c:v>5.8587154724116974</c:v>
                </c:pt>
                <c:pt idx="91">
                  <c:v>5.729410976345239</c:v>
                </c:pt>
                <c:pt idx="92">
                  <c:v>5.4607063729962206</c:v>
                </c:pt>
                <c:pt idx="93">
                  <c:v>5.1810532287037914</c:v>
                </c:pt>
                <c:pt idx="94">
                  <c:v>5.2814282172080338</c:v>
                </c:pt>
                <c:pt idx="95">
                  <c:v>5.1838920614255706</c:v>
                </c:pt>
                <c:pt idx="96">
                  <c:v>4.9656796576581748</c:v>
                </c:pt>
                <c:pt idx="97">
                  <c:v>4.7108484592655122</c:v>
                </c:pt>
                <c:pt idx="98">
                  <c:v>4.7114474929044459</c:v>
                </c:pt>
                <c:pt idx="99">
                  <c:v>4.8784334340912077</c:v>
                </c:pt>
                <c:pt idx="100">
                  <c:v>4.4106483121615465</c:v>
                </c:pt>
                <c:pt idx="101">
                  <c:v>4.2997271185190655</c:v>
                </c:pt>
                <c:pt idx="102">
                  <c:v>4.0179337040938821</c:v>
                </c:pt>
                <c:pt idx="103">
                  <c:v>4.1848139186542221</c:v>
                </c:pt>
                <c:pt idx="104">
                  <c:v>4.0638669223641966</c:v>
                </c:pt>
                <c:pt idx="105">
                  <c:v>3.8720608289598744</c:v>
                </c:pt>
                <c:pt idx="106">
                  <c:v>3.789435513114952</c:v>
                </c:pt>
                <c:pt idx="107">
                  <c:v>3.5673255952145149</c:v>
                </c:pt>
                <c:pt idx="108">
                  <c:v>3.515601116840239</c:v>
                </c:pt>
                <c:pt idx="109">
                  <c:v>3.5336423538215302</c:v>
                </c:pt>
                <c:pt idx="110">
                  <c:v>3.5006538577607889</c:v>
                </c:pt>
                <c:pt idx="111">
                  <c:v>3.3746743905757945</c:v>
                </c:pt>
                <c:pt idx="112">
                  <c:v>3.1389432485322897</c:v>
                </c:pt>
                <c:pt idx="113">
                  <c:v>3.3386297784839702</c:v>
                </c:pt>
                <c:pt idx="114">
                  <c:v>3.2977241058987459</c:v>
                </c:pt>
                <c:pt idx="115">
                  <c:v>3.1459929158451256</c:v>
                </c:pt>
                <c:pt idx="116">
                  <c:v>3.051948051948052</c:v>
                </c:pt>
                <c:pt idx="117">
                  <c:v>3.0478243825950608</c:v>
                </c:pt>
                <c:pt idx="118">
                  <c:v>2.987181927787296</c:v>
                </c:pt>
                <c:pt idx="119">
                  <c:v>2.3380943063979651</c:v>
                </c:pt>
                <c:pt idx="120">
                  <c:v>2.6207267511355483</c:v>
                </c:pt>
                <c:pt idx="121">
                  <c:v>2.6655885537297683</c:v>
                </c:pt>
                <c:pt idx="122">
                  <c:v>2.6410455486542443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F1-486F-A895-D02AE1C0071A}"/>
            </c:ext>
          </c:extLst>
        </c:ser>
        <c:ser>
          <c:idx val="3"/>
          <c:order val="3"/>
          <c:tx>
            <c:v>transportation % of spending 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Sheet1!$A$6:$A$129</c:f>
              <c:numCache>
                <c:formatCode>General</c:formatCod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numCache>
            </c:numRef>
          </c:cat>
          <c:val>
            <c:numRef>
              <c:f>Sheet1!$AG$6:$AG$129</c:f>
              <c:numCache>
                <c:formatCode>.0</c:formatCode>
                <c:ptCount val="124"/>
                <c:pt idx="0" formatCode="0">
                  <c:v>2</c:v>
                </c:pt>
                <c:pt idx="17">
                  <c:v>3.1065088757396451</c:v>
                </c:pt>
                <c:pt idx="34">
                  <c:v>8.5440874914559117</c:v>
                </c:pt>
                <c:pt idx="40">
                  <c:v>12.304921968787514</c:v>
                </c:pt>
                <c:pt idx="41">
                  <c:v>9.2682926829268286</c:v>
                </c:pt>
                <c:pt idx="43">
                  <c:v>6.3175394846217783</c:v>
                </c:pt>
                <c:pt idx="49">
                  <c:v>13.783439490445859</c:v>
                </c:pt>
                <c:pt idx="59">
                  <c:v>15.256588072122051</c:v>
                </c:pt>
                <c:pt idx="71">
                  <c:v>18.702897781551854</c:v>
                </c:pt>
                <c:pt idx="79">
                  <c:v>20.426956885726245</c:v>
                </c:pt>
                <c:pt idx="80">
                  <c:v>19.87697915480123</c:v>
                </c:pt>
                <c:pt idx="81">
                  <c:v>19.688414889167714</c:v>
                </c:pt>
                <c:pt idx="83">
                  <c:v>19.585893060295792</c:v>
                </c:pt>
                <c:pt idx="84">
                  <c:v>19.527458492975736</c:v>
                </c:pt>
                <c:pt idx="85">
                  <c:v>20.288276208832649</c:v>
                </c:pt>
                <c:pt idx="86">
                  <c:v>18.84164823461948</c:v>
                </c:pt>
                <c:pt idx="87">
                  <c:v>19.670168391781246</c:v>
                </c:pt>
                <c:pt idx="88">
                  <c:v>18.651564185544768</c:v>
                </c:pt>
                <c:pt idx="89">
                  <c:v>18.040238187519819</c:v>
                </c:pt>
                <c:pt idx="90">
                  <c:v>17.393800229621124</c:v>
                </c:pt>
                <c:pt idx="91">
                  <c:v>17.516585137036788</c:v>
                </c:pt>
                <c:pt idx="92">
                  <c:v>17.766844780398802</c:v>
                </c:pt>
                <c:pt idx="93">
                  <c:v>19.047619047619047</c:v>
                </c:pt>
                <c:pt idx="94">
                  <c:v>18.639970245474832</c:v>
                </c:pt>
                <c:pt idx="95">
                  <c:v>18.883332840192917</c:v>
                </c:pt>
                <c:pt idx="96">
                  <c:v>18.544472845285618</c:v>
                </c:pt>
                <c:pt idx="97">
                  <c:v>18.618263683692135</c:v>
                </c:pt>
                <c:pt idx="98">
                  <c:v>18.951209622922015</c:v>
                </c:pt>
                <c:pt idx="99">
                  <c:v>19.495334472335394</c:v>
                </c:pt>
                <c:pt idx="100">
                  <c:v>19.315248747406244</c:v>
                </c:pt>
                <c:pt idx="101">
                  <c:v>19.074661356540553</c:v>
                </c:pt>
                <c:pt idx="102">
                  <c:v>19.063135458264938</c:v>
                </c:pt>
                <c:pt idx="103">
                  <c:v>17.976725429196915</c:v>
                </c:pt>
                <c:pt idx="104">
                  <c:v>17.979271262039688</c:v>
                </c:pt>
                <c:pt idx="105">
                  <c:v>17.579238811521137</c:v>
                </c:pt>
                <c:pt idx="106">
                  <c:v>17.643740682541601</c:v>
                </c:pt>
                <c:pt idx="107">
                  <c:v>17.0423483738066</c:v>
                </c:pt>
                <c:pt idx="108">
                  <c:v>15.60723092913771</c:v>
                </c:pt>
                <c:pt idx="109">
                  <c:v>15.95751314722817</c:v>
                </c:pt>
                <c:pt idx="110">
                  <c:v>16.684438185293228</c:v>
                </c:pt>
                <c:pt idx="111">
                  <c:v>17.491543874654951</c:v>
                </c:pt>
                <c:pt idx="112">
                  <c:v>17.620352250489237</c:v>
                </c:pt>
                <c:pt idx="113">
                  <c:v>16.960463594728477</c:v>
                </c:pt>
                <c:pt idx="114">
                  <c:v>16.9763121226196</c:v>
                </c:pt>
                <c:pt idx="115">
                  <c:v>15.789290014133412</c:v>
                </c:pt>
                <c:pt idx="116">
                  <c:v>15.944055944055943</c:v>
                </c:pt>
                <c:pt idx="117">
                  <c:v>15.943094211420359</c:v>
                </c:pt>
                <c:pt idx="118">
                  <c:v>17.041055904562473</c:v>
                </c:pt>
                <c:pt idx="119">
                  <c:v>16.021000456531663</c:v>
                </c:pt>
                <c:pt idx="120">
                  <c:v>16.377300980157781</c:v>
                </c:pt>
                <c:pt idx="121">
                  <c:v>16.850082914194086</c:v>
                </c:pt>
                <c:pt idx="122">
                  <c:v>17.047101449275363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F1-486F-A895-D02AE1C0071A}"/>
            </c:ext>
          </c:extLst>
        </c:ser>
        <c:ser>
          <c:idx val="4"/>
          <c:order val="4"/>
          <c:tx>
            <c:v>Healthcare % of spending </c:v>
          </c:tx>
          <c:spPr>
            <a:ln w="28575" cap="rnd">
              <a:solidFill>
                <a:srgbClr val="004376"/>
              </a:solidFill>
              <a:round/>
            </a:ln>
            <a:effectLst/>
          </c:spPr>
          <c:marker>
            <c:symbol val="none"/>
          </c:marker>
          <c:cat>
            <c:numRef>
              <c:f>Sheet1!$A$6:$A$129</c:f>
              <c:numCache>
                <c:formatCode>General</c:formatCod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numCache>
            </c:numRef>
          </c:cat>
          <c:val>
            <c:numRef>
              <c:f>Sheet1!$AH$6:$AH$129</c:f>
              <c:numCache>
                <c:formatCode>.0</c:formatCode>
                <c:ptCount val="124"/>
                <c:pt idx="17">
                  <c:v>4.7337278106508878</c:v>
                </c:pt>
                <c:pt idx="34">
                  <c:v>4.0328092959671906</c:v>
                </c:pt>
                <c:pt idx="40">
                  <c:v>5.0420168067226889</c:v>
                </c:pt>
                <c:pt idx="41">
                  <c:v>5.6097560975609762</c:v>
                </c:pt>
                <c:pt idx="43">
                  <c:v>5.5278470490440563</c:v>
                </c:pt>
                <c:pt idx="49">
                  <c:v>5.095541401273886</c:v>
                </c:pt>
                <c:pt idx="59">
                  <c:v>6.7366752526253224</c:v>
                </c:pt>
                <c:pt idx="71">
                  <c:v>4.5855004776563</c:v>
                </c:pt>
                <c:pt idx="79">
                  <c:v>4.3652454703103514</c:v>
                </c:pt>
                <c:pt idx="80">
                  <c:v>4.339902038956601</c:v>
                </c:pt>
                <c:pt idx="81">
                  <c:v>4.3601003764115429</c:v>
                </c:pt>
                <c:pt idx="83">
                  <c:v>4.7736063708759957</c:v>
                </c:pt>
                <c:pt idx="84">
                  <c:v>4.7169008088548319</c:v>
                </c:pt>
                <c:pt idx="85">
                  <c:v>4.7557194335037289</c:v>
                </c:pt>
                <c:pt idx="86">
                  <c:v>4.6489719013680677</c:v>
                </c:pt>
                <c:pt idx="87">
                  <c:v>5.0131314691796689</c:v>
                </c:pt>
                <c:pt idx="88">
                  <c:v>5.0593311758360304</c:v>
                </c:pt>
                <c:pt idx="89">
                  <c:v>5.2147563510799477</c:v>
                </c:pt>
                <c:pt idx="90">
                  <c:v>5.2475180657796985</c:v>
                </c:pt>
                <c:pt idx="91">
                  <c:v>5.4747704885076729</c:v>
                </c:pt>
                <c:pt idx="92">
                  <c:v>5.7865241756809596</c:v>
                </c:pt>
                <c:pt idx="93">
                  <c:v>5.5308688664082446</c:v>
                </c:pt>
                <c:pt idx="94">
                  <c:v>5.3682122489461941</c:v>
                </c:pt>
                <c:pt idx="95">
                  <c:v>5.2371512264402167</c:v>
                </c:pt>
                <c:pt idx="96">
                  <c:v>5.2873431172635623</c:v>
                </c:pt>
                <c:pt idx="97">
                  <c:v>5.3552835232869</c:v>
                </c:pt>
                <c:pt idx="98">
                  <c:v>5.2953101770509523</c:v>
                </c:pt>
                <c:pt idx="99">
                  <c:v>5.430411354974372</c:v>
                </c:pt>
                <c:pt idx="100">
                  <c:v>5.5215344906118728</c:v>
                </c:pt>
                <c:pt idx="101">
                  <c:v>5.7772205423212135</c:v>
                </c:pt>
                <c:pt idx="102">
                  <c:v>5.9191023348114751</c:v>
                </c:pt>
                <c:pt idx="103">
                  <c:v>5.9315589353612168</c:v>
                </c:pt>
                <c:pt idx="104">
                  <c:v>5.7402658967010707</c:v>
                </c:pt>
                <c:pt idx="105">
                  <c:v>5.71511219471879</c:v>
                </c:pt>
                <c:pt idx="106">
                  <c:v>5.7476127160643058</c:v>
                </c:pt>
                <c:pt idx="107">
                  <c:v>5.8947034821534681</c:v>
                </c:pt>
                <c:pt idx="108">
                  <c:v>6.3708806326043979</c:v>
                </c:pt>
                <c:pt idx="109">
                  <c:v>6.5621817123615118</c:v>
                </c:pt>
                <c:pt idx="110">
                  <c:v>6.6653254199778686</c:v>
                </c:pt>
                <c:pt idx="111">
                  <c:v>6.9126394774697717</c:v>
                </c:pt>
                <c:pt idx="112">
                  <c:v>7.1056751467710368</c:v>
                </c:pt>
                <c:pt idx="113">
                  <c:v>8.019441069258809</c:v>
                </c:pt>
                <c:pt idx="114">
                  <c:v>7.7566186716209931</c:v>
                </c:pt>
                <c:pt idx="115">
                  <c:v>8.0473207586676203</c:v>
                </c:pt>
                <c:pt idx="116">
                  <c:v>8.2051282051282044</c:v>
                </c:pt>
                <c:pt idx="117">
                  <c:v>8.114464915719326</c:v>
                </c:pt>
                <c:pt idx="118">
                  <c:v>8.2381496287835514</c:v>
                </c:pt>
                <c:pt idx="119">
                  <c:v>8.4409443683558329</c:v>
                </c:pt>
                <c:pt idx="120">
                  <c:v>8.1460674157303377</c:v>
                </c:pt>
                <c:pt idx="121">
                  <c:v>8.0173228993928767</c:v>
                </c:pt>
                <c:pt idx="122">
                  <c:v>7.9697204968944098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F1-486F-A895-D02AE1C00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8048975"/>
        <c:axId val="578049455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tx>
                  <c:v>Entertainment except reading % of spending</c:v>
                </c:tx>
                <c:spPr>
                  <a:ln w="28575" cap="rnd">
                    <a:solidFill>
                      <a:srgbClr val="FF505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Sheet1!$A$6:$A$129</c15:sqref>
                        </c15:formulaRef>
                      </c:ext>
                    </c:extLst>
                    <c:numCache>
                      <c:formatCode>General</c:formatCode>
                      <c:ptCount val="124"/>
                      <c:pt idx="0">
                        <c:v>1901</c:v>
                      </c:pt>
                      <c:pt idx="1">
                        <c:v>1902</c:v>
                      </c:pt>
                      <c:pt idx="2">
                        <c:v>1903</c:v>
                      </c:pt>
                      <c:pt idx="3">
                        <c:v>1904</c:v>
                      </c:pt>
                      <c:pt idx="4">
                        <c:v>1905</c:v>
                      </c:pt>
                      <c:pt idx="5">
                        <c:v>1906</c:v>
                      </c:pt>
                      <c:pt idx="6">
                        <c:v>1907</c:v>
                      </c:pt>
                      <c:pt idx="7">
                        <c:v>1908</c:v>
                      </c:pt>
                      <c:pt idx="8">
                        <c:v>1909</c:v>
                      </c:pt>
                      <c:pt idx="9">
                        <c:v>1910</c:v>
                      </c:pt>
                      <c:pt idx="10">
                        <c:v>1911</c:v>
                      </c:pt>
                      <c:pt idx="11">
                        <c:v>1912</c:v>
                      </c:pt>
                      <c:pt idx="12">
                        <c:v>1913</c:v>
                      </c:pt>
                      <c:pt idx="13">
                        <c:v>1914</c:v>
                      </c:pt>
                      <c:pt idx="14">
                        <c:v>1915</c:v>
                      </c:pt>
                      <c:pt idx="15">
                        <c:v>1916</c:v>
                      </c:pt>
                      <c:pt idx="16">
                        <c:v>1917</c:v>
                      </c:pt>
                      <c:pt idx="17">
                        <c:v>1918</c:v>
                      </c:pt>
                      <c:pt idx="18">
                        <c:v>1919</c:v>
                      </c:pt>
                      <c:pt idx="19">
                        <c:v>1920</c:v>
                      </c:pt>
                      <c:pt idx="20">
                        <c:v>1921</c:v>
                      </c:pt>
                      <c:pt idx="21">
                        <c:v>1922</c:v>
                      </c:pt>
                      <c:pt idx="22">
                        <c:v>1923</c:v>
                      </c:pt>
                      <c:pt idx="23">
                        <c:v>1924</c:v>
                      </c:pt>
                      <c:pt idx="24">
                        <c:v>1925</c:v>
                      </c:pt>
                      <c:pt idx="25">
                        <c:v>1926</c:v>
                      </c:pt>
                      <c:pt idx="26">
                        <c:v>1927</c:v>
                      </c:pt>
                      <c:pt idx="27">
                        <c:v>1928</c:v>
                      </c:pt>
                      <c:pt idx="28">
                        <c:v>1929</c:v>
                      </c:pt>
                      <c:pt idx="29">
                        <c:v>1930</c:v>
                      </c:pt>
                      <c:pt idx="30">
                        <c:v>1931</c:v>
                      </c:pt>
                      <c:pt idx="31">
                        <c:v>1932</c:v>
                      </c:pt>
                      <c:pt idx="32">
                        <c:v>1933</c:v>
                      </c:pt>
                      <c:pt idx="33">
                        <c:v>1934</c:v>
                      </c:pt>
                      <c:pt idx="34">
                        <c:v>1935</c:v>
                      </c:pt>
                      <c:pt idx="35">
                        <c:v>1936</c:v>
                      </c:pt>
                      <c:pt idx="36">
                        <c:v>1937</c:v>
                      </c:pt>
                      <c:pt idx="37">
                        <c:v>1938</c:v>
                      </c:pt>
                      <c:pt idx="38">
                        <c:v>1939</c:v>
                      </c:pt>
                      <c:pt idx="39">
                        <c:v>1940</c:v>
                      </c:pt>
                      <c:pt idx="40">
                        <c:v>1941</c:v>
                      </c:pt>
                      <c:pt idx="41">
                        <c:v>1942</c:v>
                      </c:pt>
                      <c:pt idx="42">
                        <c:v>1943</c:v>
                      </c:pt>
                      <c:pt idx="43">
                        <c:v>1944</c:v>
                      </c:pt>
                      <c:pt idx="44">
                        <c:v>1945</c:v>
                      </c:pt>
                      <c:pt idx="45">
                        <c:v>1946</c:v>
                      </c:pt>
                      <c:pt idx="46">
                        <c:v>1947</c:v>
                      </c:pt>
                      <c:pt idx="47">
                        <c:v>1948</c:v>
                      </c:pt>
                      <c:pt idx="48">
                        <c:v>1949</c:v>
                      </c:pt>
                      <c:pt idx="49">
                        <c:v>1950</c:v>
                      </c:pt>
                      <c:pt idx="50">
                        <c:v>1951</c:v>
                      </c:pt>
                      <c:pt idx="51">
                        <c:v>1952</c:v>
                      </c:pt>
                      <c:pt idx="52">
                        <c:v>1953</c:v>
                      </c:pt>
                      <c:pt idx="53">
                        <c:v>1954</c:v>
                      </c:pt>
                      <c:pt idx="54">
                        <c:v>1955</c:v>
                      </c:pt>
                      <c:pt idx="55">
                        <c:v>1956</c:v>
                      </c:pt>
                      <c:pt idx="56">
                        <c:v>1957</c:v>
                      </c:pt>
                      <c:pt idx="57">
                        <c:v>1958</c:v>
                      </c:pt>
                      <c:pt idx="58">
                        <c:v>1959</c:v>
                      </c:pt>
                      <c:pt idx="59">
                        <c:v>1960</c:v>
                      </c:pt>
                      <c:pt idx="60">
                        <c:v>1961</c:v>
                      </c:pt>
                      <c:pt idx="61">
                        <c:v>1962</c:v>
                      </c:pt>
                      <c:pt idx="62">
                        <c:v>1963</c:v>
                      </c:pt>
                      <c:pt idx="63">
                        <c:v>1964</c:v>
                      </c:pt>
                      <c:pt idx="64">
                        <c:v>1965</c:v>
                      </c:pt>
                      <c:pt idx="65">
                        <c:v>1966</c:v>
                      </c:pt>
                      <c:pt idx="66">
                        <c:v>1967</c:v>
                      </c:pt>
                      <c:pt idx="67">
                        <c:v>1968</c:v>
                      </c:pt>
                      <c:pt idx="68">
                        <c:v>1969</c:v>
                      </c:pt>
                      <c:pt idx="69">
                        <c:v>1970</c:v>
                      </c:pt>
                      <c:pt idx="70">
                        <c:v>1971</c:v>
                      </c:pt>
                      <c:pt idx="71">
                        <c:v>1972</c:v>
                      </c:pt>
                      <c:pt idx="72">
                        <c:v>1973</c:v>
                      </c:pt>
                      <c:pt idx="73">
                        <c:v>1974</c:v>
                      </c:pt>
                      <c:pt idx="74">
                        <c:v>1975</c:v>
                      </c:pt>
                      <c:pt idx="75">
                        <c:v>1976</c:v>
                      </c:pt>
                      <c:pt idx="76">
                        <c:v>1977</c:v>
                      </c:pt>
                      <c:pt idx="77">
                        <c:v>1978</c:v>
                      </c:pt>
                      <c:pt idx="78">
                        <c:v>1979</c:v>
                      </c:pt>
                      <c:pt idx="79">
                        <c:v>1980</c:v>
                      </c:pt>
                      <c:pt idx="80">
                        <c:v>1981</c:v>
                      </c:pt>
                      <c:pt idx="81">
                        <c:v>1982</c:v>
                      </c:pt>
                      <c:pt idx="82">
                        <c:v>1983</c:v>
                      </c:pt>
                      <c:pt idx="83">
                        <c:v>1984</c:v>
                      </c:pt>
                      <c:pt idx="84">
                        <c:v>1985</c:v>
                      </c:pt>
                      <c:pt idx="85">
                        <c:v>1986</c:v>
                      </c:pt>
                      <c:pt idx="86">
                        <c:v>1987</c:v>
                      </c:pt>
                      <c:pt idx="87">
                        <c:v>1988</c:v>
                      </c:pt>
                      <c:pt idx="88">
                        <c:v>1989</c:v>
                      </c:pt>
                      <c:pt idx="89">
                        <c:v>1990</c:v>
                      </c:pt>
                      <c:pt idx="90">
                        <c:v>1991</c:v>
                      </c:pt>
                      <c:pt idx="91">
                        <c:v>1992</c:v>
                      </c:pt>
                      <c:pt idx="92">
                        <c:v>1993</c:v>
                      </c:pt>
                      <c:pt idx="93">
                        <c:v>1994</c:v>
                      </c:pt>
                      <c:pt idx="94">
                        <c:v>1995</c:v>
                      </c:pt>
                      <c:pt idx="95">
                        <c:v>1996</c:v>
                      </c:pt>
                      <c:pt idx="96">
                        <c:v>1997</c:v>
                      </c:pt>
                      <c:pt idx="97">
                        <c:v>1998</c:v>
                      </c:pt>
                      <c:pt idx="98">
                        <c:v>1999</c:v>
                      </c:pt>
                      <c:pt idx="99">
                        <c:v>2000</c:v>
                      </c:pt>
                      <c:pt idx="100">
                        <c:v>2001</c:v>
                      </c:pt>
                      <c:pt idx="101">
                        <c:v>2002</c:v>
                      </c:pt>
                      <c:pt idx="102">
                        <c:v>2003</c:v>
                      </c:pt>
                      <c:pt idx="103">
                        <c:v>2004</c:v>
                      </c:pt>
                      <c:pt idx="104">
                        <c:v>2005</c:v>
                      </c:pt>
                      <c:pt idx="105">
                        <c:v>2006</c:v>
                      </c:pt>
                      <c:pt idx="106">
                        <c:v>2007</c:v>
                      </c:pt>
                      <c:pt idx="107">
                        <c:v>2008</c:v>
                      </c:pt>
                      <c:pt idx="108">
                        <c:v>2009</c:v>
                      </c:pt>
                      <c:pt idx="109">
                        <c:v>2010</c:v>
                      </c:pt>
                      <c:pt idx="110">
                        <c:v>2011</c:v>
                      </c:pt>
                      <c:pt idx="111">
                        <c:v>2012</c:v>
                      </c:pt>
                      <c:pt idx="112">
                        <c:v>2013</c:v>
                      </c:pt>
                      <c:pt idx="113">
                        <c:v>2014</c:v>
                      </c:pt>
                      <c:pt idx="114">
                        <c:v>2015</c:v>
                      </c:pt>
                      <c:pt idx="115">
                        <c:v>2016</c:v>
                      </c:pt>
                      <c:pt idx="116">
                        <c:v>2017</c:v>
                      </c:pt>
                      <c:pt idx="117">
                        <c:v>2018</c:v>
                      </c:pt>
                      <c:pt idx="118">
                        <c:v>2019</c:v>
                      </c:pt>
                      <c:pt idx="119">
                        <c:v>2020</c:v>
                      </c:pt>
                      <c:pt idx="120">
                        <c:v>2021</c:v>
                      </c:pt>
                      <c:pt idx="121">
                        <c:v>2022</c:v>
                      </c:pt>
                      <c:pt idx="122">
                        <c:v>2023</c:v>
                      </c:pt>
                      <c:pt idx="123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Sheet1!$AJ$6:$AJ$129</c15:sqref>
                        </c15:formulaRef>
                      </c:ext>
                    </c:extLst>
                    <c:numCache>
                      <c:formatCode>.0</c:formatCode>
                      <c:ptCount val="124"/>
                      <c:pt idx="17">
                        <c:v>2.440828402366864</c:v>
                      </c:pt>
                      <c:pt idx="34">
                        <c:v>2.5974025974025974</c:v>
                      </c:pt>
                      <c:pt idx="40">
                        <c:v>4.1416566626650653</c:v>
                      </c:pt>
                      <c:pt idx="41">
                        <c:v>3.9024390243902438</c:v>
                      </c:pt>
                      <c:pt idx="43">
                        <c:v>2.7847049044056527</c:v>
                      </c:pt>
                      <c:pt idx="49">
                        <c:v>4.5095541401273884</c:v>
                      </c:pt>
                      <c:pt idx="59">
                        <c:v>3.9627501486031309</c:v>
                      </c:pt>
                      <c:pt idx="71">
                        <c:v>4.1290733467784735</c:v>
                      </c:pt>
                      <c:pt idx="79">
                        <c:v>4.329366740417389</c:v>
                      </c:pt>
                      <c:pt idx="80">
                        <c:v>4.5506321904544933</c:v>
                      </c:pt>
                      <c:pt idx="81">
                        <c:v>4.5953575909661231</c:v>
                      </c:pt>
                      <c:pt idx="83">
                        <c:v>4.8009101251422068</c:v>
                      </c:pt>
                      <c:pt idx="84">
                        <c:v>4.980842911877394</c:v>
                      </c:pt>
                      <c:pt idx="85">
                        <c:v>4.8143802899522328</c:v>
                      </c:pt>
                      <c:pt idx="86">
                        <c:v>4.8865405095437042</c:v>
                      </c:pt>
                      <c:pt idx="87">
                        <c:v>5.1328595705237134</c:v>
                      </c:pt>
                      <c:pt idx="88">
                        <c:v>5.1204602660913343</c:v>
                      </c:pt>
                      <c:pt idx="89">
                        <c:v>5.0103942778619501</c:v>
                      </c:pt>
                      <c:pt idx="90">
                        <c:v>4.970622003106639</c:v>
                      </c:pt>
                      <c:pt idx="91">
                        <c:v>5.0257991020572268</c:v>
                      </c:pt>
                      <c:pt idx="92">
                        <c:v>5.2977974716538512</c:v>
                      </c:pt>
                      <c:pt idx="93">
                        <c:v>4.9383883268727748</c:v>
                      </c:pt>
                      <c:pt idx="94">
                        <c:v>4.9962806843540788</c:v>
                      </c:pt>
                      <c:pt idx="95">
                        <c:v>5.4265171464922917</c:v>
                      </c:pt>
                      <c:pt idx="96">
                        <c:v>5.2069272523622159</c:v>
                      </c:pt>
                      <c:pt idx="97">
                        <c:v>4.9134655972984378</c:v>
                      </c:pt>
                      <c:pt idx="98">
                        <c:v>5.1115015542640894</c:v>
                      </c:pt>
                      <c:pt idx="99">
                        <c:v>4.8968326981206465</c:v>
                      </c:pt>
                      <c:pt idx="100">
                        <c:v>4.9420517232653474</c:v>
                      </c:pt>
                      <c:pt idx="101">
                        <c:v>5.110996386164171</c:v>
                      </c:pt>
                      <c:pt idx="102">
                        <c:v>5.0469167258740235</c:v>
                      </c:pt>
                      <c:pt idx="103">
                        <c:v>5.1111879248761376</c:v>
                      </c:pt>
                      <c:pt idx="104">
                        <c:v>5.1455536641599693</c:v>
                      </c:pt>
                      <c:pt idx="105">
                        <c:v>4.9092937724699368</c:v>
                      </c:pt>
                      <c:pt idx="106">
                        <c:v>5.4353519481042749</c:v>
                      </c:pt>
                      <c:pt idx="107">
                        <c:v>5.6154181357207937</c:v>
                      </c:pt>
                      <c:pt idx="108">
                        <c:v>5.4884138015366739</c:v>
                      </c:pt>
                      <c:pt idx="109">
                        <c:v>5.2048473258641836</c:v>
                      </c:pt>
                      <c:pt idx="110">
                        <c:v>5.17452972537974</c:v>
                      </c:pt>
                      <c:pt idx="111">
                        <c:v>5.0639555227246218</c:v>
                      </c:pt>
                      <c:pt idx="112">
                        <c:v>4.8571428571428568</c:v>
                      </c:pt>
                      <c:pt idx="113">
                        <c:v>5.0995420132722691</c:v>
                      </c:pt>
                      <c:pt idx="114">
                        <c:v>5.0769945335667579</c:v>
                      </c:pt>
                      <c:pt idx="115">
                        <c:v>5.0827938790110094</c:v>
                      </c:pt>
                      <c:pt idx="116">
                        <c:v>5.3330003330003333</c:v>
                      </c:pt>
                      <c:pt idx="117">
                        <c:v>5.2691754867372271</c:v>
                      </c:pt>
                      <c:pt idx="118">
                        <c:v>4.9019607843137258</c:v>
                      </c:pt>
                      <c:pt idx="119">
                        <c:v>4.7430378921280898</c:v>
                      </c:pt>
                      <c:pt idx="120">
                        <c:v>5.3311020798469997</c:v>
                      </c:pt>
                      <c:pt idx="121">
                        <c:v>4.7391286471966785</c:v>
                      </c:pt>
                      <c:pt idx="122">
                        <c:v>4.7036749482401659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21F1-486F-A895-D02AE1C0071A}"/>
                  </c:ext>
                </c:extLst>
              </c15:ser>
            </c15:filteredLineSeries>
          </c:ext>
        </c:extLst>
      </c:lineChart>
      <c:catAx>
        <c:axId val="57804897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049455"/>
        <c:crosses val="autoZero"/>
        <c:auto val="1"/>
        <c:lblAlgn val="ctr"/>
        <c:lblOffset val="100"/>
        <c:noMultiLvlLbl val="0"/>
      </c:catAx>
      <c:valAx>
        <c:axId val="578049455"/>
        <c:scaling>
          <c:orientation val="minMax"/>
          <c:max val="45"/>
          <c:min val="0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500" b="1">
                    <a:solidFill>
                      <a:srgbClr val="004376"/>
                    </a:solidFill>
                  </a:rPr>
                  <a:t>% of total average household spending</a:t>
                </a:r>
              </a:p>
            </c:rich>
          </c:tx>
          <c:layout>
            <c:manualLayout>
              <c:xMode val="edge"/>
              <c:yMode val="edge"/>
              <c:x val="1.1323893981008552E-2"/>
              <c:y val="0.130465255137677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048975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64596185050864"/>
          <c:y val="4.7715561670108632E-2"/>
          <c:w val="0.85511251189248738"/>
          <c:h val="0.86047968639976269"/>
        </c:manualLayout>
      </c:layout>
      <c:lineChart>
        <c:grouping val="standard"/>
        <c:varyColors val="0"/>
        <c:ser>
          <c:idx val="5"/>
          <c:order val="0"/>
          <c:tx>
            <c:v>Entertainment except reading % of spending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Sheet1!$A$23:$A$129</c:f>
              <c:numCache>
                <c:formatCode>General</c:formatCode>
                <c:ptCount val="107"/>
                <c:pt idx="0">
                  <c:v>1918</c:v>
                </c:pt>
                <c:pt idx="1">
                  <c:v>1919</c:v>
                </c:pt>
                <c:pt idx="2">
                  <c:v>1920</c:v>
                </c:pt>
                <c:pt idx="3">
                  <c:v>1921</c:v>
                </c:pt>
                <c:pt idx="4">
                  <c:v>1922</c:v>
                </c:pt>
                <c:pt idx="5">
                  <c:v>1923</c:v>
                </c:pt>
                <c:pt idx="6">
                  <c:v>1924</c:v>
                </c:pt>
                <c:pt idx="7">
                  <c:v>1925</c:v>
                </c:pt>
                <c:pt idx="8">
                  <c:v>1926</c:v>
                </c:pt>
                <c:pt idx="9">
                  <c:v>1927</c:v>
                </c:pt>
                <c:pt idx="10">
                  <c:v>1928</c:v>
                </c:pt>
                <c:pt idx="11">
                  <c:v>1929</c:v>
                </c:pt>
                <c:pt idx="12">
                  <c:v>1930</c:v>
                </c:pt>
                <c:pt idx="13">
                  <c:v>1931</c:v>
                </c:pt>
                <c:pt idx="14">
                  <c:v>1932</c:v>
                </c:pt>
                <c:pt idx="15">
                  <c:v>1933</c:v>
                </c:pt>
                <c:pt idx="16">
                  <c:v>1934</c:v>
                </c:pt>
                <c:pt idx="17">
                  <c:v>1935</c:v>
                </c:pt>
                <c:pt idx="18">
                  <c:v>1936</c:v>
                </c:pt>
                <c:pt idx="19">
                  <c:v>1937</c:v>
                </c:pt>
                <c:pt idx="20">
                  <c:v>1938</c:v>
                </c:pt>
                <c:pt idx="21">
                  <c:v>1939</c:v>
                </c:pt>
                <c:pt idx="22">
                  <c:v>1940</c:v>
                </c:pt>
                <c:pt idx="23">
                  <c:v>1941</c:v>
                </c:pt>
                <c:pt idx="24">
                  <c:v>1942</c:v>
                </c:pt>
                <c:pt idx="25">
                  <c:v>1943</c:v>
                </c:pt>
                <c:pt idx="26">
                  <c:v>1944</c:v>
                </c:pt>
                <c:pt idx="27">
                  <c:v>1945</c:v>
                </c:pt>
                <c:pt idx="28">
                  <c:v>1946</c:v>
                </c:pt>
                <c:pt idx="29">
                  <c:v>1947</c:v>
                </c:pt>
                <c:pt idx="30">
                  <c:v>1948</c:v>
                </c:pt>
                <c:pt idx="31">
                  <c:v>1949</c:v>
                </c:pt>
                <c:pt idx="32">
                  <c:v>1950</c:v>
                </c:pt>
                <c:pt idx="33">
                  <c:v>1951</c:v>
                </c:pt>
                <c:pt idx="34">
                  <c:v>1952</c:v>
                </c:pt>
                <c:pt idx="35">
                  <c:v>1953</c:v>
                </c:pt>
                <c:pt idx="36">
                  <c:v>1954</c:v>
                </c:pt>
                <c:pt idx="37">
                  <c:v>1955</c:v>
                </c:pt>
                <c:pt idx="38">
                  <c:v>1956</c:v>
                </c:pt>
                <c:pt idx="39">
                  <c:v>1957</c:v>
                </c:pt>
                <c:pt idx="40">
                  <c:v>1958</c:v>
                </c:pt>
                <c:pt idx="41">
                  <c:v>1959</c:v>
                </c:pt>
                <c:pt idx="42">
                  <c:v>1960</c:v>
                </c:pt>
                <c:pt idx="43">
                  <c:v>1961</c:v>
                </c:pt>
                <c:pt idx="44">
                  <c:v>1962</c:v>
                </c:pt>
                <c:pt idx="45">
                  <c:v>1963</c:v>
                </c:pt>
                <c:pt idx="46">
                  <c:v>1964</c:v>
                </c:pt>
                <c:pt idx="47">
                  <c:v>1965</c:v>
                </c:pt>
                <c:pt idx="48">
                  <c:v>1966</c:v>
                </c:pt>
                <c:pt idx="49">
                  <c:v>1967</c:v>
                </c:pt>
                <c:pt idx="50">
                  <c:v>1968</c:v>
                </c:pt>
                <c:pt idx="51">
                  <c:v>1969</c:v>
                </c:pt>
                <c:pt idx="52">
                  <c:v>1970</c:v>
                </c:pt>
                <c:pt idx="53">
                  <c:v>1971</c:v>
                </c:pt>
                <c:pt idx="54">
                  <c:v>1972</c:v>
                </c:pt>
                <c:pt idx="55">
                  <c:v>1973</c:v>
                </c:pt>
                <c:pt idx="56">
                  <c:v>1974</c:v>
                </c:pt>
                <c:pt idx="57">
                  <c:v>1975</c:v>
                </c:pt>
                <c:pt idx="58">
                  <c:v>1976</c:v>
                </c:pt>
                <c:pt idx="59">
                  <c:v>1977</c:v>
                </c:pt>
                <c:pt idx="60">
                  <c:v>1978</c:v>
                </c:pt>
                <c:pt idx="61">
                  <c:v>1979</c:v>
                </c:pt>
                <c:pt idx="62">
                  <c:v>1980</c:v>
                </c:pt>
                <c:pt idx="63">
                  <c:v>1981</c:v>
                </c:pt>
                <c:pt idx="64">
                  <c:v>1982</c:v>
                </c:pt>
                <c:pt idx="65">
                  <c:v>1983</c:v>
                </c:pt>
                <c:pt idx="66">
                  <c:v>1984</c:v>
                </c:pt>
                <c:pt idx="67">
                  <c:v>1985</c:v>
                </c:pt>
                <c:pt idx="68">
                  <c:v>1986</c:v>
                </c:pt>
                <c:pt idx="69">
                  <c:v>1987</c:v>
                </c:pt>
                <c:pt idx="70">
                  <c:v>1988</c:v>
                </c:pt>
                <c:pt idx="71">
                  <c:v>1989</c:v>
                </c:pt>
                <c:pt idx="72">
                  <c:v>1990</c:v>
                </c:pt>
                <c:pt idx="73">
                  <c:v>1991</c:v>
                </c:pt>
                <c:pt idx="74">
                  <c:v>1992</c:v>
                </c:pt>
                <c:pt idx="75">
                  <c:v>1993</c:v>
                </c:pt>
                <c:pt idx="76">
                  <c:v>1994</c:v>
                </c:pt>
                <c:pt idx="77">
                  <c:v>1995</c:v>
                </c:pt>
                <c:pt idx="78">
                  <c:v>1996</c:v>
                </c:pt>
                <c:pt idx="79">
                  <c:v>1997</c:v>
                </c:pt>
                <c:pt idx="80">
                  <c:v>1998</c:v>
                </c:pt>
                <c:pt idx="81">
                  <c:v>1999</c:v>
                </c:pt>
                <c:pt idx="82">
                  <c:v>2000</c:v>
                </c:pt>
                <c:pt idx="83">
                  <c:v>2001</c:v>
                </c:pt>
                <c:pt idx="84">
                  <c:v>2002</c:v>
                </c:pt>
                <c:pt idx="85">
                  <c:v>2003</c:v>
                </c:pt>
                <c:pt idx="86">
                  <c:v>2004</c:v>
                </c:pt>
                <c:pt idx="87">
                  <c:v>2005</c:v>
                </c:pt>
                <c:pt idx="88">
                  <c:v>2006</c:v>
                </c:pt>
                <c:pt idx="89">
                  <c:v>2007</c:v>
                </c:pt>
                <c:pt idx="90">
                  <c:v>2008</c:v>
                </c:pt>
                <c:pt idx="91">
                  <c:v>2009</c:v>
                </c:pt>
                <c:pt idx="92">
                  <c:v>2010</c:v>
                </c:pt>
                <c:pt idx="93">
                  <c:v>2011</c:v>
                </c:pt>
                <c:pt idx="94">
                  <c:v>2012</c:v>
                </c:pt>
                <c:pt idx="95">
                  <c:v>2013</c:v>
                </c:pt>
                <c:pt idx="96">
                  <c:v>2014</c:v>
                </c:pt>
                <c:pt idx="97">
                  <c:v>2015</c:v>
                </c:pt>
                <c:pt idx="98">
                  <c:v>2016</c:v>
                </c:pt>
                <c:pt idx="99">
                  <c:v>2017</c:v>
                </c:pt>
                <c:pt idx="100">
                  <c:v>2018</c:v>
                </c:pt>
                <c:pt idx="101">
                  <c:v>2019</c:v>
                </c:pt>
                <c:pt idx="102">
                  <c:v>2020</c:v>
                </c:pt>
                <c:pt idx="103">
                  <c:v>2021</c:v>
                </c:pt>
                <c:pt idx="104">
                  <c:v>2022</c:v>
                </c:pt>
                <c:pt idx="105">
                  <c:v>2023</c:v>
                </c:pt>
                <c:pt idx="106">
                  <c:v>2024</c:v>
                </c:pt>
              </c:numCache>
            </c:numRef>
          </c:cat>
          <c:val>
            <c:numRef>
              <c:f>Sheet1!$AJ$23:$AJ$129</c:f>
              <c:numCache>
                <c:formatCode>.0</c:formatCode>
                <c:ptCount val="107"/>
                <c:pt idx="0">
                  <c:v>2.440828402366864</c:v>
                </c:pt>
                <c:pt idx="17">
                  <c:v>2.5974025974025974</c:v>
                </c:pt>
                <c:pt idx="23">
                  <c:v>4.1416566626650653</c:v>
                </c:pt>
                <c:pt idx="24">
                  <c:v>3.9024390243902438</c:v>
                </c:pt>
                <c:pt idx="26">
                  <c:v>2.7847049044056527</c:v>
                </c:pt>
                <c:pt idx="32">
                  <c:v>4.5095541401273884</c:v>
                </c:pt>
                <c:pt idx="42">
                  <c:v>3.9627501486031309</c:v>
                </c:pt>
                <c:pt idx="54">
                  <c:v>4.1290733467784735</c:v>
                </c:pt>
                <c:pt idx="62">
                  <c:v>4.329366740417389</c:v>
                </c:pt>
                <c:pt idx="63">
                  <c:v>4.5506321904544933</c:v>
                </c:pt>
                <c:pt idx="64">
                  <c:v>4.5953575909661231</c:v>
                </c:pt>
                <c:pt idx="66">
                  <c:v>4.8009101251422068</c:v>
                </c:pt>
                <c:pt idx="67">
                  <c:v>4.980842911877394</c:v>
                </c:pt>
                <c:pt idx="68">
                  <c:v>4.8143802899522328</c:v>
                </c:pt>
                <c:pt idx="69">
                  <c:v>4.8865405095437042</c:v>
                </c:pt>
                <c:pt idx="70">
                  <c:v>5.1328595705237134</c:v>
                </c:pt>
                <c:pt idx="71">
                  <c:v>5.1204602660913343</c:v>
                </c:pt>
                <c:pt idx="72">
                  <c:v>5.0103942778619501</c:v>
                </c:pt>
                <c:pt idx="73">
                  <c:v>4.970622003106639</c:v>
                </c:pt>
                <c:pt idx="74">
                  <c:v>5.0257991020572268</c:v>
                </c:pt>
                <c:pt idx="75">
                  <c:v>5.2977974716538512</c:v>
                </c:pt>
                <c:pt idx="76">
                  <c:v>4.9383883268727748</c:v>
                </c:pt>
                <c:pt idx="77">
                  <c:v>4.9962806843540788</c:v>
                </c:pt>
                <c:pt idx="78">
                  <c:v>5.4265171464922917</c:v>
                </c:pt>
                <c:pt idx="79">
                  <c:v>5.2069272523622159</c:v>
                </c:pt>
                <c:pt idx="80">
                  <c:v>4.9134655972984378</c:v>
                </c:pt>
                <c:pt idx="81">
                  <c:v>5.1115015542640894</c:v>
                </c:pt>
                <c:pt idx="82">
                  <c:v>4.8968326981206465</c:v>
                </c:pt>
                <c:pt idx="83">
                  <c:v>4.9420517232653474</c:v>
                </c:pt>
                <c:pt idx="84">
                  <c:v>5.110996386164171</c:v>
                </c:pt>
                <c:pt idx="85">
                  <c:v>5.0469167258740235</c:v>
                </c:pt>
                <c:pt idx="86">
                  <c:v>5.1111879248761376</c:v>
                </c:pt>
                <c:pt idx="87">
                  <c:v>5.1455536641599693</c:v>
                </c:pt>
                <c:pt idx="88">
                  <c:v>4.9092937724699368</c:v>
                </c:pt>
                <c:pt idx="89">
                  <c:v>5.4353519481042749</c:v>
                </c:pt>
                <c:pt idx="90">
                  <c:v>5.6154181357207937</c:v>
                </c:pt>
                <c:pt idx="91">
                  <c:v>5.4884138015366739</c:v>
                </c:pt>
                <c:pt idx="92">
                  <c:v>5.2048473258641836</c:v>
                </c:pt>
                <c:pt idx="93">
                  <c:v>5.17452972537974</c:v>
                </c:pt>
                <c:pt idx="94">
                  <c:v>5.0639555227246218</c:v>
                </c:pt>
                <c:pt idx="95">
                  <c:v>4.8571428571428568</c:v>
                </c:pt>
                <c:pt idx="96">
                  <c:v>5.0995420132722691</c:v>
                </c:pt>
                <c:pt idx="97">
                  <c:v>5.0769945335667579</c:v>
                </c:pt>
                <c:pt idx="98">
                  <c:v>5.0827938790110094</c:v>
                </c:pt>
                <c:pt idx="99">
                  <c:v>5.3330003330003333</c:v>
                </c:pt>
                <c:pt idx="100">
                  <c:v>5.2691754867372271</c:v>
                </c:pt>
                <c:pt idx="101">
                  <c:v>4.9019607843137258</c:v>
                </c:pt>
                <c:pt idx="102">
                  <c:v>4.7430378921280898</c:v>
                </c:pt>
                <c:pt idx="103">
                  <c:v>5.3311020798469997</c:v>
                </c:pt>
                <c:pt idx="104">
                  <c:v>4.7391286471966785</c:v>
                </c:pt>
                <c:pt idx="105">
                  <c:v>4.7036749482401659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0E-4FA8-B940-5E4000ADC3DB}"/>
            </c:ext>
          </c:extLst>
        </c:ser>
        <c:ser>
          <c:idx val="0"/>
          <c:order val="1"/>
          <c:tx>
            <c:v>Reading +education % of spending</c:v>
          </c:tx>
          <c:spPr>
            <a:ln w="28575" cap="rnd">
              <a:solidFill>
                <a:srgbClr val="004376"/>
              </a:solidFill>
              <a:round/>
            </a:ln>
            <a:effectLst/>
          </c:spPr>
          <c:marker>
            <c:symbol val="none"/>
          </c:marker>
          <c:cat>
            <c:numRef>
              <c:f>Sheet1!$A$23:$A$129</c:f>
              <c:numCache>
                <c:formatCode>General</c:formatCode>
                <c:ptCount val="107"/>
                <c:pt idx="0">
                  <c:v>1918</c:v>
                </c:pt>
                <c:pt idx="1">
                  <c:v>1919</c:v>
                </c:pt>
                <c:pt idx="2">
                  <c:v>1920</c:v>
                </c:pt>
                <c:pt idx="3">
                  <c:v>1921</c:v>
                </c:pt>
                <c:pt idx="4">
                  <c:v>1922</c:v>
                </c:pt>
                <c:pt idx="5">
                  <c:v>1923</c:v>
                </c:pt>
                <c:pt idx="6">
                  <c:v>1924</c:v>
                </c:pt>
                <c:pt idx="7">
                  <c:v>1925</c:v>
                </c:pt>
                <c:pt idx="8">
                  <c:v>1926</c:v>
                </c:pt>
                <c:pt idx="9">
                  <c:v>1927</c:v>
                </c:pt>
                <c:pt idx="10">
                  <c:v>1928</c:v>
                </c:pt>
                <c:pt idx="11">
                  <c:v>1929</c:v>
                </c:pt>
                <c:pt idx="12">
                  <c:v>1930</c:v>
                </c:pt>
                <c:pt idx="13">
                  <c:v>1931</c:v>
                </c:pt>
                <c:pt idx="14">
                  <c:v>1932</c:v>
                </c:pt>
                <c:pt idx="15">
                  <c:v>1933</c:v>
                </c:pt>
                <c:pt idx="16">
                  <c:v>1934</c:v>
                </c:pt>
                <c:pt idx="17">
                  <c:v>1935</c:v>
                </c:pt>
                <c:pt idx="18">
                  <c:v>1936</c:v>
                </c:pt>
                <c:pt idx="19">
                  <c:v>1937</c:v>
                </c:pt>
                <c:pt idx="20">
                  <c:v>1938</c:v>
                </c:pt>
                <c:pt idx="21">
                  <c:v>1939</c:v>
                </c:pt>
                <c:pt idx="22">
                  <c:v>1940</c:v>
                </c:pt>
                <c:pt idx="23">
                  <c:v>1941</c:v>
                </c:pt>
                <c:pt idx="24">
                  <c:v>1942</c:v>
                </c:pt>
                <c:pt idx="25">
                  <c:v>1943</c:v>
                </c:pt>
                <c:pt idx="26">
                  <c:v>1944</c:v>
                </c:pt>
                <c:pt idx="27">
                  <c:v>1945</c:v>
                </c:pt>
                <c:pt idx="28">
                  <c:v>1946</c:v>
                </c:pt>
                <c:pt idx="29">
                  <c:v>1947</c:v>
                </c:pt>
                <c:pt idx="30">
                  <c:v>1948</c:v>
                </c:pt>
                <c:pt idx="31">
                  <c:v>1949</c:v>
                </c:pt>
                <c:pt idx="32">
                  <c:v>1950</c:v>
                </c:pt>
                <c:pt idx="33">
                  <c:v>1951</c:v>
                </c:pt>
                <c:pt idx="34">
                  <c:v>1952</c:v>
                </c:pt>
                <c:pt idx="35">
                  <c:v>1953</c:v>
                </c:pt>
                <c:pt idx="36">
                  <c:v>1954</c:v>
                </c:pt>
                <c:pt idx="37">
                  <c:v>1955</c:v>
                </c:pt>
                <c:pt idx="38">
                  <c:v>1956</c:v>
                </c:pt>
                <c:pt idx="39">
                  <c:v>1957</c:v>
                </c:pt>
                <c:pt idx="40">
                  <c:v>1958</c:v>
                </c:pt>
                <c:pt idx="41">
                  <c:v>1959</c:v>
                </c:pt>
                <c:pt idx="42">
                  <c:v>1960</c:v>
                </c:pt>
                <c:pt idx="43">
                  <c:v>1961</c:v>
                </c:pt>
                <c:pt idx="44">
                  <c:v>1962</c:v>
                </c:pt>
                <c:pt idx="45">
                  <c:v>1963</c:v>
                </c:pt>
                <c:pt idx="46">
                  <c:v>1964</c:v>
                </c:pt>
                <c:pt idx="47">
                  <c:v>1965</c:v>
                </c:pt>
                <c:pt idx="48">
                  <c:v>1966</c:v>
                </c:pt>
                <c:pt idx="49">
                  <c:v>1967</c:v>
                </c:pt>
                <c:pt idx="50">
                  <c:v>1968</c:v>
                </c:pt>
                <c:pt idx="51">
                  <c:v>1969</c:v>
                </c:pt>
                <c:pt idx="52">
                  <c:v>1970</c:v>
                </c:pt>
                <c:pt idx="53">
                  <c:v>1971</c:v>
                </c:pt>
                <c:pt idx="54">
                  <c:v>1972</c:v>
                </c:pt>
                <c:pt idx="55">
                  <c:v>1973</c:v>
                </c:pt>
                <c:pt idx="56">
                  <c:v>1974</c:v>
                </c:pt>
                <c:pt idx="57">
                  <c:v>1975</c:v>
                </c:pt>
                <c:pt idx="58">
                  <c:v>1976</c:v>
                </c:pt>
                <c:pt idx="59">
                  <c:v>1977</c:v>
                </c:pt>
                <c:pt idx="60">
                  <c:v>1978</c:v>
                </c:pt>
                <c:pt idx="61">
                  <c:v>1979</c:v>
                </c:pt>
                <c:pt idx="62">
                  <c:v>1980</c:v>
                </c:pt>
                <c:pt idx="63">
                  <c:v>1981</c:v>
                </c:pt>
                <c:pt idx="64">
                  <c:v>1982</c:v>
                </c:pt>
                <c:pt idx="65">
                  <c:v>1983</c:v>
                </c:pt>
                <c:pt idx="66">
                  <c:v>1984</c:v>
                </c:pt>
                <c:pt idx="67">
                  <c:v>1985</c:v>
                </c:pt>
                <c:pt idx="68">
                  <c:v>1986</c:v>
                </c:pt>
                <c:pt idx="69">
                  <c:v>1987</c:v>
                </c:pt>
                <c:pt idx="70">
                  <c:v>1988</c:v>
                </c:pt>
                <c:pt idx="71">
                  <c:v>1989</c:v>
                </c:pt>
                <c:pt idx="72">
                  <c:v>1990</c:v>
                </c:pt>
                <c:pt idx="73">
                  <c:v>1991</c:v>
                </c:pt>
                <c:pt idx="74">
                  <c:v>1992</c:v>
                </c:pt>
                <c:pt idx="75">
                  <c:v>1993</c:v>
                </c:pt>
                <c:pt idx="76">
                  <c:v>1994</c:v>
                </c:pt>
                <c:pt idx="77">
                  <c:v>1995</c:v>
                </c:pt>
                <c:pt idx="78">
                  <c:v>1996</c:v>
                </c:pt>
                <c:pt idx="79">
                  <c:v>1997</c:v>
                </c:pt>
                <c:pt idx="80">
                  <c:v>1998</c:v>
                </c:pt>
                <c:pt idx="81">
                  <c:v>1999</c:v>
                </c:pt>
                <c:pt idx="82">
                  <c:v>2000</c:v>
                </c:pt>
                <c:pt idx="83">
                  <c:v>2001</c:v>
                </c:pt>
                <c:pt idx="84">
                  <c:v>2002</c:v>
                </c:pt>
                <c:pt idx="85">
                  <c:v>2003</c:v>
                </c:pt>
                <c:pt idx="86">
                  <c:v>2004</c:v>
                </c:pt>
                <c:pt idx="87">
                  <c:v>2005</c:v>
                </c:pt>
                <c:pt idx="88">
                  <c:v>2006</c:v>
                </c:pt>
                <c:pt idx="89">
                  <c:v>2007</c:v>
                </c:pt>
                <c:pt idx="90">
                  <c:v>2008</c:v>
                </c:pt>
                <c:pt idx="91">
                  <c:v>2009</c:v>
                </c:pt>
                <c:pt idx="92">
                  <c:v>2010</c:v>
                </c:pt>
                <c:pt idx="93">
                  <c:v>2011</c:v>
                </c:pt>
                <c:pt idx="94">
                  <c:v>2012</c:v>
                </c:pt>
                <c:pt idx="95">
                  <c:v>2013</c:v>
                </c:pt>
                <c:pt idx="96">
                  <c:v>2014</c:v>
                </c:pt>
                <c:pt idx="97">
                  <c:v>2015</c:v>
                </c:pt>
                <c:pt idx="98">
                  <c:v>2016</c:v>
                </c:pt>
                <c:pt idx="99">
                  <c:v>2017</c:v>
                </c:pt>
                <c:pt idx="100">
                  <c:v>2018</c:v>
                </c:pt>
                <c:pt idx="101">
                  <c:v>2019</c:v>
                </c:pt>
                <c:pt idx="102">
                  <c:v>2020</c:v>
                </c:pt>
                <c:pt idx="103">
                  <c:v>2021</c:v>
                </c:pt>
                <c:pt idx="104">
                  <c:v>2022</c:v>
                </c:pt>
                <c:pt idx="105">
                  <c:v>2023</c:v>
                </c:pt>
                <c:pt idx="106">
                  <c:v>2024</c:v>
                </c:pt>
              </c:numCache>
            </c:numRef>
          </c:cat>
          <c:val>
            <c:numRef>
              <c:f>Sheet1!$AY$23:$AY$129</c:f>
              <c:numCache>
                <c:formatCode>.0</c:formatCode>
                <c:ptCount val="107"/>
                <c:pt idx="0">
                  <c:v>1.3313609467455623</c:v>
                </c:pt>
                <c:pt idx="17">
                  <c:v>1.5037593984962407</c:v>
                </c:pt>
                <c:pt idx="23">
                  <c:v>1.8607442977190876</c:v>
                </c:pt>
                <c:pt idx="24">
                  <c:v>1.9512195121951219</c:v>
                </c:pt>
                <c:pt idx="26">
                  <c:v>1.7040731504571904</c:v>
                </c:pt>
                <c:pt idx="32">
                  <c:v>1.2993630573248409</c:v>
                </c:pt>
                <c:pt idx="42">
                  <c:v>1.941747572815534</c:v>
                </c:pt>
                <c:pt idx="54">
                  <c:v>1.8681668612673814</c:v>
                </c:pt>
                <c:pt idx="62">
                  <c:v>1.9314716259044431</c:v>
                </c:pt>
                <c:pt idx="63">
                  <c:v>1.98200250598018</c:v>
                </c:pt>
                <c:pt idx="64">
                  <c:v>2.0127561689669591</c:v>
                </c:pt>
                <c:pt idx="66">
                  <c:v>1.9795221843003414</c:v>
                </c:pt>
                <c:pt idx="67">
                  <c:v>1.9667943805874841</c:v>
                </c:pt>
                <c:pt idx="68">
                  <c:v>1.9022877734014916</c:v>
                </c:pt>
                <c:pt idx="69">
                  <c:v>1.9619890226918981</c:v>
                </c:pt>
                <c:pt idx="70">
                  <c:v>1.9002008342345125</c:v>
                </c:pt>
                <c:pt idx="71">
                  <c:v>1.8842143113987775</c:v>
                </c:pt>
                <c:pt idx="72">
                  <c:v>1.9696275677389803</c:v>
                </c:pt>
                <c:pt idx="73">
                  <c:v>2.0598365637873979</c:v>
                </c:pt>
                <c:pt idx="74">
                  <c:v>1.9701132480064329</c:v>
                </c:pt>
                <c:pt idx="75">
                  <c:v>2.0233285546722271</c:v>
                </c:pt>
                <c:pt idx="76">
                  <c:v>1.9696826447322806</c:v>
                </c:pt>
                <c:pt idx="77">
                  <c:v>1.961939003223407</c:v>
                </c:pt>
                <c:pt idx="78">
                  <c:v>2.0208894280557446</c:v>
                </c:pt>
                <c:pt idx="79">
                  <c:v>2.1109164536603577</c:v>
                </c:pt>
                <c:pt idx="80">
                  <c:v>2.0852680455888559</c:v>
                </c:pt>
                <c:pt idx="81">
                  <c:v>2.1462359778348428</c:v>
                </c:pt>
                <c:pt idx="82">
                  <c:v>2.044946773557629</c:v>
                </c:pt>
                <c:pt idx="83">
                  <c:v>1.9965585302899944</c:v>
                </c:pt>
                <c:pt idx="84">
                  <c:v>2.1904270226417877</c:v>
                </c:pt>
                <c:pt idx="85">
                  <c:v>2.2294632138569712</c:v>
                </c:pt>
                <c:pt idx="86">
                  <c:v>2.3850674040788111</c:v>
                </c:pt>
                <c:pt idx="87">
                  <c:v>2.2969682604667194</c:v>
                </c:pt>
                <c:pt idx="88">
                  <c:v>2.0765320881028142</c:v>
                </c:pt>
                <c:pt idx="89">
                  <c:v>2.1415044925258875</c:v>
                </c:pt>
                <c:pt idx="90">
                  <c:v>2.3016281741472886</c:v>
                </c:pt>
                <c:pt idx="91">
                  <c:v>2.4007989076161165</c:v>
                </c:pt>
                <c:pt idx="92">
                  <c:v>2.4402918372861628</c:v>
                </c:pt>
                <c:pt idx="93">
                  <c:v>2.3458404587063675</c:v>
                </c:pt>
                <c:pt idx="94">
                  <c:v>2.5582209089848762</c:v>
                </c:pt>
                <c:pt idx="95">
                  <c:v>2.4266144814090023</c:v>
                </c:pt>
                <c:pt idx="96">
                  <c:v>2.503037667071689</c:v>
                </c:pt>
                <c:pt idx="97">
                  <c:v>2.5527885955196687</c:v>
                </c:pt>
                <c:pt idx="98">
                  <c:v>2.5248207150459772</c:v>
                </c:pt>
                <c:pt idx="99">
                  <c:v>2.6656676656676654</c:v>
                </c:pt>
                <c:pt idx="100">
                  <c:v>2.4745197961583694</c:v>
                </c:pt>
                <c:pt idx="101">
                  <c:v>2.435116441398566</c:v>
                </c:pt>
                <c:pt idx="102">
                  <c:v>2.2582012652448964</c:v>
                </c:pt>
                <c:pt idx="103">
                  <c:v>2.0021515658618214</c:v>
                </c:pt>
                <c:pt idx="104">
                  <c:v>1.9899406581057191</c:v>
                </c:pt>
                <c:pt idx="105">
                  <c:v>2.2942546583850931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D0E-4FA8-B940-5E4000ADC3DB}"/>
            </c:ext>
          </c:extLst>
        </c:ser>
        <c:ser>
          <c:idx val="1"/>
          <c:order val="2"/>
          <c:tx>
            <c:v>Alcohol + tobacco % of spending</c:v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Sheet1!$A$23:$A$129</c:f>
              <c:numCache>
                <c:formatCode>General</c:formatCode>
                <c:ptCount val="107"/>
                <c:pt idx="0">
                  <c:v>1918</c:v>
                </c:pt>
                <c:pt idx="1">
                  <c:v>1919</c:v>
                </c:pt>
                <c:pt idx="2">
                  <c:v>1920</c:v>
                </c:pt>
                <c:pt idx="3">
                  <c:v>1921</c:v>
                </c:pt>
                <c:pt idx="4">
                  <c:v>1922</c:v>
                </c:pt>
                <c:pt idx="5">
                  <c:v>1923</c:v>
                </c:pt>
                <c:pt idx="6">
                  <c:v>1924</c:v>
                </c:pt>
                <c:pt idx="7">
                  <c:v>1925</c:v>
                </c:pt>
                <c:pt idx="8">
                  <c:v>1926</c:v>
                </c:pt>
                <c:pt idx="9">
                  <c:v>1927</c:v>
                </c:pt>
                <c:pt idx="10">
                  <c:v>1928</c:v>
                </c:pt>
                <c:pt idx="11">
                  <c:v>1929</c:v>
                </c:pt>
                <c:pt idx="12">
                  <c:v>1930</c:v>
                </c:pt>
                <c:pt idx="13">
                  <c:v>1931</c:v>
                </c:pt>
                <c:pt idx="14">
                  <c:v>1932</c:v>
                </c:pt>
                <c:pt idx="15">
                  <c:v>1933</c:v>
                </c:pt>
                <c:pt idx="16">
                  <c:v>1934</c:v>
                </c:pt>
                <c:pt idx="17">
                  <c:v>1935</c:v>
                </c:pt>
                <c:pt idx="18">
                  <c:v>1936</c:v>
                </c:pt>
                <c:pt idx="19">
                  <c:v>1937</c:v>
                </c:pt>
                <c:pt idx="20">
                  <c:v>1938</c:v>
                </c:pt>
                <c:pt idx="21">
                  <c:v>1939</c:v>
                </c:pt>
                <c:pt idx="22">
                  <c:v>1940</c:v>
                </c:pt>
                <c:pt idx="23">
                  <c:v>1941</c:v>
                </c:pt>
                <c:pt idx="24">
                  <c:v>1942</c:v>
                </c:pt>
                <c:pt idx="25">
                  <c:v>1943</c:v>
                </c:pt>
                <c:pt idx="26">
                  <c:v>1944</c:v>
                </c:pt>
                <c:pt idx="27">
                  <c:v>1945</c:v>
                </c:pt>
                <c:pt idx="28">
                  <c:v>1946</c:v>
                </c:pt>
                <c:pt idx="29">
                  <c:v>1947</c:v>
                </c:pt>
                <c:pt idx="30">
                  <c:v>1948</c:v>
                </c:pt>
                <c:pt idx="31">
                  <c:v>1949</c:v>
                </c:pt>
                <c:pt idx="32">
                  <c:v>1950</c:v>
                </c:pt>
                <c:pt idx="33">
                  <c:v>1951</c:v>
                </c:pt>
                <c:pt idx="34">
                  <c:v>1952</c:v>
                </c:pt>
                <c:pt idx="35">
                  <c:v>1953</c:v>
                </c:pt>
                <c:pt idx="36">
                  <c:v>1954</c:v>
                </c:pt>
                <c:pt idx="37">
                  <c:v>1955</c:v>
                </c:pt>
                <c:pt idx="38">
                  <c:v>1956</c:v>
                </c:pt>
                <c:pt idx="39">
                  <c:v>1957</c:v>
                </c:pt>
                <c:pt idx="40">
                  <c:v>1958</c:v>
                </c:pt>
                <c:pt idx="41">
                  <c:v>1959</c:v>
                </c:pt>
                <c:pt idx="42">
                  <c:v>1960</c:v>
                </c:pt>
                <c:pt idx="43">
                  <c:v>1961</c:v>
                </c:pt>
                <c:pt idx="44">
                  <c:v>1962</c:v>
                </c:pt>
                <c:pt idx="45">
                  <c:v>1963</c:v>
                </c:pt>
                <c:pt idx="46">
                  <c:v>1964</c:v>
                </c:pt>
                <c:pt idx="47">
                  <c:v>1965</c:v>
                </c:pt>
                <c:pt idx="48">
                  <c:v>1966</c:v>
                </c:pt>
                <c:pt idx="49">
                  <c:v>1967</c:v>
                </c:pt>
                <c:pt idx="50">
                  <c:v>1968</c:v>
                </c:pt>
                <c:pt idx="51">
                  <c:v>1969</c:v>
                </c:pt>
                <c:pt idx="52">
                  <c:v>1970</c:v>
                </c:pt>
                <c:pt idx="53">
                  <c:v>1971</c:v>
                </c:pt>
                <c:pt idx="54">
                  <c:v>1972</c:v>
                </c:pt>
                <c:pt idx="55">
                  <c:v>1973</c:v>
                </c:pt>
                <c:pt idx="56">
                  <c:v>1974</c:v>
                </c:pt>
                <c:pt idx="57">
                  <c:v>1975</c:v>
                </c:pt>
                <c:pt idx="58">
                  <c:v>1976</c:v>
                </c:pt>
                <c:pt idx="59">
                  <c:v>1977</c:v>
                </c:pt>
                <c:pt idx="60">
                  <c:v>1978</c:v>
                </c:pt>
                <c:pt idx="61">
                  <c:v>1979</c:v>
                </c:pt>
                <c:pt idx="62">
                  <c:v>1980</c:v>
                </c:pt>
                <c:pt idx="63">
                  <c:v>1981</c:v>
                </c:pt>
                <c:pt idx="64">
                  <c:v>1982</c:v>
                </c:pt>
                <c:pt idx="65">
                  <c:v>1983</c:v>
                </c:pt>
                <c:pt idx="66">
                  <c:v>1984</c:v>
                </c:pt>
                <c:pt idx="67">
                  <c:v>1985</c:v>
                </c:pt>
                <c:pt idx="68">
                  <c:v>1986</c:v>
                </c:pt>
                <c:pt idx="69">
                  <c:v>1987</c:v>
                </c:pt>
                <c:pt idx="70">
                  <c:v>1988</c:v>
                </c:pt>
                <c:pt idx="71">
                  <c:v>1989</c:v>
                </c:pt>
                <c:pt idx="72">
                  <c:v>1990</c:v>
                </c:pt>
                <c:pt idx="73">
                  <c:v>1991</c:v>
                </c:pt>
                <c:pt idx="74">
                  <c:v>1992</c:v>
                </c:pt>
                <c:pt idx="75">
                  <c:v>1993</c:v>
                </c:pt>
                <c:pt idx="76">
                  <c:v>1994</c:v>
                </c:pt>
                <c:pt idx="77">
                  <c:v>1995</c:v>
                </c:pt>
                <c:pt idx="78">
                  <c:v>1996</c:v>
                </c:pt>
                <c:pt idx="79">
                  <c:v>1997</c:v>
                </c:pt>
                <c:pt idx="80">
                  <c:v>1998</c:v>
                </c:pt>
                <c:pt idx="81">
                  <c:v>1999</c:v>
                </c:pt>
                <c:pt idx="82">
                  <c:v>2000</c:v>
                </c:pt>
                <c:pt idx="83">
                  <c:v>2001</c:v>
                </c:pt>
                <c:pt idx="84">
                  <c:v>2002</c:v>
                </c:pt>
                <c:pt idx="85">
                  <c:v>2003</c:v>
                </c:pt>
                <c:pt idx="86">
                  <c:v>2004</c:v>
                </c:pt>
                <c:pt idx="87">
                  <c:v>2005</c:v>
                </c:pt>
                <c:pt idx="88">
                  <c:v>2006</c:v>
                </c:pt>
                <c:pt idx="89">
                  <c:v>2007</c:v>
                </c:pt>
                <c:pt idx="90">
                  <c:v>2008</c:v>
                </c:pt>
                <c:pt idx="91">
                  <c:v>2009</c:v>
                </c:pt>
                <c:pt idx="92">
                  <c:v>2010</c:v>
                </c:pt>
                <c:pt idx="93">
                  <c:v>2011</c:v>
                </c:pt>
                <c:pt idx="94">
                  <c:v>2012</c:v>
                </c:pt>
                <c:pt idx="95">
                  <c:v>2013</c:v>
                </c:pt>
                <c:pt idx="96">
                  <c:v>2014</c:v>
                </c:pt>
                <c:pt idx="97">
                  <c:v>2015</c:v>
                </c:pt>
                <c:pt idx="98">
                  <c:v>2016</c:v>
                </c:pt>
                <c:pt idx="99">
                  <c:v>2017</c:v>
                </c:pt>
                <c:pt idx="100">
                  <c:v>2018</c:v>
                </c:pt>
                <c:pt idx="101">
                  <c:v>2019</c:v>
                </c:pt>
                <c:pt idx="102">
                  <c:v>2020</c:v>
                </c:pt>
                <c:pt idx="103">
                  <c:v>2021</c:v>
                </c:pt>
                <c:pt idx="104">
                  <c:v>2022</c:v>
                </c:pt>
                <c:pt idx="105">
                  <c:v>2023</c:v>
                </c:pt>
                <c:pt idx="106">
                  <c:v>2024</c:v>
                </c:pt>
              </c:numCache>
            </c:numRef>
          </c:cat>
          <c:val>
            <c:numRef>
              <c:f>Sheet1!$AX$23:$AX$129</c:f>
              <c:numCache>
                <c:formatCode>.0</c:formatCode>
                <c:ptCount val="107"/>
                <c:pt idx="0">
                  <c:v>1.775147928994083</c:v>
                </c:pt>
                <c:pt idx="17">
                  <c:v>3.2822282980177717</c:v>
                </c:pt>
                <c:pt idx="23">
                  <c:v>3.4375750300120047</c:v>
                </c:pt>
                <c:pt idx="24">
                  <c:v>3.4951219512195122</c:v>
                </c:pt>
                <c:pt idx="26">
                  <c:v>3.2534497090606815</c:v>
                </c:pt>
                <c:pt idx="32">
                  <c:v>3.7961783439490446</c:v>
                </c:pt>
                <c:pt idx="42">
                  <c:v>3.3485238755696454</c:v>
                </c:pt>
                <c:pt idx="54">
                  <c:v>2.3352085765842268</c:v>
                </c:pt>
                <c:pt idx="62">
                  <c:v>2.7088441069186153</c:v>
                </c:pt>
                <c:pt idx="63">
                  <c:v>2.6084975509739152</c:v>
                </c:pt>
                <c:pt idx="64">
                  <c:v>2.5826014219991635</c:v>
                </c:pt>
                <c:pt idx="66">
                  <c:v>2.2889647326507396</c:v>
                </c:pt>
                <c:pt idx="67">
                  <c:v>2.234993614303959</c:v>
                </c:pt>
                <c:pt idx="68">
                  <c:v>2.0992206486214697</c:v>
                </c:pt>
                <c:pt idx="69">
                  <c:v>2.1340214630949452</c:v>
                </c:pt>
                <c:pt idx="70">
                  <c:v>1.9735825737679593</c:v>
                </c:pt>
                <c:pt idx="71">
                  <c:v>1.9597267170082704</c:v>
                </c:pt>
                <c:pt idx="72">
                  <c:v>1.9978154399069801</c:v>
                </c:pt>
                <c:pt idx="73">
                  <c:v>1.9348956574593097</c:v>
                </c:pt>
                <c:pt idx="74">
                  <c:v>1.9299068551899752</c:v>
                </c:pt>
                <c:pt idx="75">
                  <c:v>1.7463834223901995</c:v>
                </c:pt>
                <c:pt idx="76">
                  <c:v>1.6923513283539755</c:v>
                </c:pt>
                <c:pt idx="77">
                  <c:v>1.6922886188941235</c:v>
                </c:pt>
                <c:pt idx="78">
                  <c:v>1.6687871704589163</c:v>
                </c:pt>
                <c:pt idx="79">
                  <c:v>1.6456532353025648</c:v>
                </c:pt>
                <c:pt idx="80">
                  <c:v>1.6378218657661461</c:v>
                </c:pt>
                <c:pt idx="81">
                  <c:v>1.6704960129747262</c:v>
                </c:pt>
                <c:pt idx="82">
                  <c:v>1.8162702063346039</c:v>
                </c:pt>
                <c:pt idx="83">
                  <c:v>1.6625335290247483</c:v>
                </c:pt>
                <c:pt idx="84">
                  <c:v>1.7110406372151337</c:v>
                </c:pt>
                <c:pt idx="85">
                  <c:v>1.6684224710292281</c:v>
                </c:pt>
                <c:pt idx="86">
                  <c:v>1.7213964742481855</c:v>
                </c:pt>
                <c:pt idx="87">
                  <c:v>1.6052920769678296</c:v>
                </c:pt>
                <c:pt idx="88">
                  <c:v>1.7025496921360386</c:v>
                </c:pt>
                <c:pt idx="89">
                  <c:v>1.5713767677988639</c:v>
                </c:pt>
                <c:pt idx="90">
                  <c:v>1.5073485718813138</c:v>
                </c:pt>
                <c:pt idx="91">
                  <c:v>1.6609941508549535</c:v>
                </c:pt>
                <c:pt idx="92">
                  <c:v>1.6088465775634497</c:v>
                </c:pt>
                <c:pt idx="93">
                  <c:v>1.6235791167890554</c:v>
                </c:pt>
                <c:pt idx="94">
                  <c:v>1.5221025621087829</c:v>
                </c:pt>
                <c:pt idx="95">
                  <c:v>1.5166340508806262</c:v>
                </c:pt>
                <c:pt idx="96">
                  <c:v>1.4618188615758483</c:v>
                </c:pt>
                <c:pt idx="97">
                  <c:v>1.5434635035192397</c:v>
                </c:pt>
                <c:pt idx="98">
                  <c:v>1.4325347664497217</c:v>
                </c:pt>
                <c:pt idx="99">
                  <c:v>1.4818514818514821</c:v>
                </c:pt>
                <c:pt idx="100">
                  <c:v>1.5190121520972166</c:v>
                </c:pt>
                <c:pt idx="101">
                  <c:v>1.4261691731708865</c:v>
                </c:pt>
                <c:pt idx="102">
                  <c:v>1.2929628904976194</c:v>
                </c:pt>
                <c:pt idx="103">
                  <c:v>1.3372579488405449</c:v>
                </c:pt>
                <c:pt idx="104">
                  <c:v>1.3074403497471461</c:v>
                </c:pt>
                <c:pt idx="105">
                  <c:v>1.3030538302277432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D0E-4FA8-B940-5E4000ADC3DB}"/>
            </c:ext>
          </c:extLst>
        </c:ser>
        <c:ser>
          <c:idx val="2"/>
          <c:order val="3"/>
          <c:tx>
            <c:v>Personal care % of spending</c:v>
          </c:tx>
          <c:spPr>
            <a:ln w="28575" cap="rnd">
              <a:solidFill>
                <a:srgbClr val="FF00FF"/>
              </a:solidFill>
              <a:round/>
            </a:ln>
            <a:effectLst/>
          </c:spPr>
          <c:marker>
            <c:symbol val="none"/>
          </c:marker>
          <c:cat>
            <c:numRef>
              <c:f>Sheet1!$A$23:$A$129</c:f>
              <c:numCache>
                <c:formatCode>General</c:formatCode>
                <c:ptCount val="107"/>
                <c:pt idx="0">
                  <c:v>1918</c:v>
                </c:pt>
                <c:pt idx="1">
                  <c:v>1919</c:v>
                </c:pt>
                <c:pt idx="2">
                  <c:v>1920</c:v>
                </c:pt>
                <c:pt idx="3">
                  <c:v>1921</c:v>
                </c:pt>
                <c:pt idx="4">
                  <c:v>1922</c:v>
                </c:pt>
                <c:pt idx="5">
                  <c:v>1923</c:v>
                </c:pt>
                <c:pt idx="6">
                  <c:v>1924</c:v>
                </c:pt>
                <c:pt idx="7">
                  <c:v>1925</c:v>
                </c:pt>
                <c:pt idx="8">
                  <c:v>1926</c:v>
                </c:pt>
                <c:pt idx="9">
                  <c:v>1927</c:v>
                </c:pt>
                <c:pt idx="10">
                  <c:v>1928</c:v>
                </c:pt>
                <c:pt idx="11">
                  <c:v>1929</c:v>
                </c:pt>
                <c:pt idx="12">
                  <c:v>1930</c:v>
                </c:pt>
                <c:pt idx="13">
                  <c:v>1931</c:v>
                </c:pt>
                <c:pt idx="14">
                  <c:v>1932</c:v>
                </c:pt>
                <c:pt idx="15">
                  <c:v>1933</c:v>
                </c:pt>
                <c:pt idx="16">
                  <c:v>1934</c:v>
                </c:pt>
                <c:pt idx="17">
                  <c:v>1935</c:v>
                </c:pt>
                <c:pt idx="18">
                  <c:v>1936</c:v>
                </c:pt>
                <c:pt idx="19">
                  <c:v>1937</c:v>
                </c:pt>
                <c:pt idx="20">
                  <c:v>1938</c:v>
                </c:pt>
                <c:pt idx="21">
                  <c:v>1939</c:v>
                </c:pt>
                <c:pt idx="22">
                  <c:v>1940</c:v>
                </c:pt>
                <c:pt idx="23">
                  <c:v>1941</c:v>
                </c:pt>
                <c:pt idx="24">
                  <c:v>1942</c:v>
                </c:pt>
                <c:pt idx="25">
                  <c:v>1943</c:v>
                </c:pt>
                <c:pt idx="26">
                  <c:v>1944</c:v>
                </c:pt>
                <c:pt idx="27">
                  <c:v>1945</c:v>
                </c:pt>
                <c:pt idx="28">
                  <c:v>1946</c:v>
                </c:pt>
                <c:pt idx="29">
                  <c:v>1947</c:v>
                </c:pt>
                <c:pt idx="30">
                  <c:v>1948</c:v>
                </c:pt>
                <c:pt idx="31">
                  <c:v>1949</c:v>
                </c:pt>
                <c:pt idx="32">
                  <c:v>1950</c:v>
                </c:pt>
                <c:pt idx="33">
                  <c:v>1951</c:v>
                </c:pt>
                <c:pt idx="34">
                  <c:v>1952</c:v>
                </c:pt>
                <c:pt idx="35">
                  <c:v>1953</c:v>
                </c:pt>
                <c:pt idx="36">
                  <c:v>1954</c:v>
                </c:pt>
                <c:pt idx="37">
                  <c:v>1955</c:v>
                </c:pt>
                <c:pt idx="38">
                  <c:v>1956</c:v>
                </c:pt>
                <c:pt idx="39">
                  <c:v>1957</c:v>
                </c:pt>
                <c:pt idx="40">
                  <c:v>1958</c:v>
                </c:pt>
                <c:pt idx="41">
                  <c:v>1959</c:v>
                </c:pt>
                <c:pt idx="42">
                  <c:v>1960</c:v>
                </c:pt>
                <c:pt idx="43">
                  <c:v>1961</c:v>
                </c:pt>
                <c:pt idx="44">
                  <c:v>1962</c:v>
                </c:pt>
                <c:pt idx="45">
                  <c:v>1963</c:v>
                </c:pt>
                <c:pt idx="46">
                  <c:v>1964</c:v>
                </c:pt>
                <c:pt idx="47">
                  <c:v>1965</c:v>
                </c:pt>
                <c:pt idx="48">
                  <c:v>1966</c:v>
                </c:pt>
                <c:pt idx="49">
                  <c:v>1967</c:v>
                </c:pt>
                <c:pt idx="50">
                  <c:v>1968</c:v>
                </c:pt>
                <c:pt idx="51">
                  <c:v>1969</c:v>
                </c:pt>
                <c:pt idx="52">
                  <c:v>1970</c:v>
                </c:pt>
                <c:pt idx="53">
                  <c:v>1971</c:v>
                </c:pt>
                <c:pt idx="54">
                  <c:v>1972</c:v>
                </c:pt>
                <c:pt idx="55">
                  <c:v>1973</c:v>
                </c:pt>
                <c:pt idx="56">
                  <c:v>1974</c:v>
                </c:pt>
                <c:pt idx="57">
                  <c:v>1975</c:v>
                </c:pt>
                <c:pt idx="58">
                  <c:v>1976</c:v>
                </c:pt>
                <c:pt idx="59">
                  <c:v>1977</c:v>
                </c:pt>
                <c:pt idx="60">
                  <c:v>1978</c:v>
                </c:pt>
                <c:pt idx="61">
                  <c:v>1979</c:v>
                </c:pt>
                <c:pt idx="62">
                  <c:v>1980</c:v>
                </c:pt>
                <c:pt idx="63">
                  <c:v>1981</c:v>
                </c:pt>
                <c:pt idx="64">
                  <c:v>1982</c:v>
                </c:pt>
                <c:pt idx="65">
                  <c:v>1983</c:v>
                </c:pt>
                <c:pt idx="66">
                  <c:v>1984</c:v>
                </c:pt>
                <c:pt idx="67">
                  <c:v>1985</c:v>
                </c:pt>
                <c:pt idx="68">
                  <c:v>1986</c:v>
                </c:pt>
                <c:pt idx="69">
                  <c:v>1987</c:v>
                </c:pt>
                <c:pt idx="70">
                  <c:v>1988</c:v>
                </c:pt>
                <c:pt idx="71">
                  <c:v>1989</c:v>
                </c:pt>
                <c:pt idx="72">
                  <c:v>1990</c:v>
                </c:pt>
                <c:pt idx="73">
                  <c:v>1991</c:v>
                </c:pt>
                <c:pt idx="74">
                  <c:v>1992</c:v>
                </c:pt>
                <c:pt idx="75">
                  <c:v>1993</c:v>
                </c:pt>
                <c:pt idx="76">
                  <c:v>1994</c:v>
                </c:pt>
                <c:pt idx="77">
                  <c:v>1995</c:v>
                </c:pt>
                <c:pt idx="78">
                  <c:v>1996</c:v>
                </c:pt>
                <c:pt idx="79">
                  <c:v>1997</c:v>
                </c:pt>
                <c:pt idx="80">
                  <c:v>1998</c:v>
                </c:pt>
                <c:pt idx="81">
                  <c:v>1999</c:v>
                </c:pt>
                <c:pt idx="82">
                  <c:v>2000</c:v>
                </c:pt>
                <c:pt idx="83">
                  <c:v>2001</c:v>
                </c:pt>
                <c:pt idx="84">
                  <c:v>2002</c:v>
                </c:pt>
                <c:pt idx="85">
                  <c:v>2003</c:v>
                </c:pt>
                <c:pt idx="86">
                  <c:v>2004</c:v>
                </c:pt>
                <c:pt idx="87">
                  <c:v>2005</c:v>
                </c:pt>
                <c:pt idx="88">
                  <c:v>2006</c:v>
                </c:pt>
                <c:pt idx="89">
                  <c:v>2007</c:v>
                </c:pt>
                <c:pt idx="90">
                  <c:v>2008</c:v>
                </c:pt>
                <c:pt idx="91">
                  <c:v>2009</c:v>
                </c:pt>
                <c:pt idx="92">
                  <c:v>2010</c:v>
                </c:pt>
                <c:pt idx="93">
                  <c:v>2011</c:v>
                </c:pt>
                <c:pt idx="94">
                  <c:v>2012</c:v>
                </c:pt>
                <c:pt idx="95">
                  <c:v>2013</c:v>
                </c:pt>
                <c:pt idx="96">
                  <c:v>2014</c:v>
                </c:pt>
                <c:pt idx="97">
                  <c:v>2015</c:v>
                </c:pt>
                <c:pt idx="98">
                  <c:v>2016</c:v>
                </c:pt>
                <c:pt idx="99">
                  <c:v>2017</c:v>
                </c:pt>
                <c:pt idx="100">
                  <c:v>2018</c:v>
                </c:pt>
                <c:pt idx="101">
                  <c:v>2019</c:v>
                </c:pt>
                <c:pt idx="102">
                  <c:v>2020</c:v>
                </c:pt>
                <c:pt idx="103">
                  <c:v>2021</c:v>
                </c:pt>
                <c:pt idx="104">
                  <c:v>2022</c:v>
                </c:pt>
                <c:pt idx="105">
                  <c:v>2023</c:v>
                </c:pt>
                <c:pt idx="106">
                  <c:v>2024</c:v>
                </c:pt>
              </c:numCache>
            </c:numRef>
          </c:cat>
          <c:val>
            <c:numRef>
              <c:f>Sheet1!$AI$23:$AI$129</c:f>
              <c:numCache>
                <c:formatCode>.0</c:formatCode>
                <c:ptCount val="107"/>
                <c:pt idx="0">
                  <c:v>1.0355029585798818</c:v>
                </c:pt>
                <c:pt idx="17">
                  <c:v>2.0505809979494192</c:v>
                </c:pt>
                <c:pt idx="23">
                  <c:v>2.1608643457382954</c:v>
                </c:pt>
                <c:pt idx="24">
                  <c:v>2.1951219512195119</c:v>
                </c:pt>
                <c:pt idx="26">
                  <c:v>2.4106400665004157</c:v>
                </c:pt>
                <c:pt idx="32">
                  <c:v>2.3184713375796178</c:v>
                </c:pt>
                <c:pt idx="42">
                  <c:v>2.8729938577372698</c:v>
                </c:pt>
                <c:pt idx="54">
                  <c:v>1.1251459505360364</c:v>
                </c:pt>
                <c:pt idx="62">
                  <c:v>0.91490761227052564</c:v>
                </c:pt>
                <c:pt idx="63">
                  <c:v>0.92265633899077348</c:v>
                </c:pt>
                <c:pt idx="64">
                  <c:v>0.93057298201589289</c:v>
                </c:pt>
                <c:pt idx="66">
                  <c:v>1.3151308304891922</c:v>
                </c:pt>
                <c:pt idx="67">
                  <c:v>1.2899106002554279</c:v>
                </c:pt>
                <c:pt idx="68">
                  <c:v>1.2695885359926253</c:v>
                </c:pt>
                <c:pt idx="69">
                  <c:v>1.3516834603096584</c:v>
                </c:pt>
                <c:pt idx="70">
                  <c:v>1.2899737370616406</c:v>
                </c:pt>
                <c:pt idx="71">
                  <c:v>1.3160733549083063</c:v>
                </c:pt>
                <c:pt idx="72">
                  <c:v>1.2825481836439871</c:v>
                </c:pt>
                <c:pt idx="73">
                  <c:v>1.347335719592085</c:v>
                </c:pt>
                <c:pt idx="74">
                  <c:v>1.2966561683307647</c:v>
                </c:pt>
                <c:pt idx="75">
                  <c:v>1.2543985403362439</c:v>
                </c:pt>
                <c:pt idx="76">
                  <c:v>1.2511424159339448</c:v>
                </c:pt>
                <c:pt idx="77">
                  <c:v>1.2490701710885197</c:v>
                </c:pt>
                <c:pt idx="78">
                  <c:v>1.5178862029174187</c:v>
                </c:pt>
                <c:pt idx="79">
                  <c:v>1.5164134524253998</c:v>
                </c:pt>
                <c:pt idx="80">
                  <c:v>1.128464893766709</c:v>
                </c:pt>
                <c:pt idx="81">
                  <c:v>1.1028517367211785</c:v>
                </c:pt>
                <c:pt idx="82">
                  <c:v>1.4824549875147852</c:v>
                </c:pt>
                <c:pt idx="83">
                  <c:v>1.2272888304063971</c:v>
                </c:pt>
                <c:pt idx="84">
                  <c:v>1.2931140447918972</c:v>
                </c:pt>
                <c:pt idx="85">
                  <c:v>1.2911286963765098</c:v>
                </c:pt>
                <c:pt idx="86">
                  <c:v>1.3388639244152551</c:v>
                </c:pt>
                <c:pt idx="87">
                  <c:v>1.1657221659591888</c:v>
                </c:pt>
                <c:pt idx="88">
                  <c:v>1.2087276333732799</c:v>
                </c:pt>
                <c:pt idx="89">
                  <c:v>1.1845763326483743</c:v>
                </c:pt>
                <c:pt idx="90">
                  <c:v>1.2201402368973577</c:v>
                </c:pt>
                <c:pt idx="91">
                  <c:v>1.2146656612387146</c:v>
                </c:pt>
                <c:pt idx="92">
                  <c:v>1.2097528528965473</c:v>
                </c:pt>
                <c:pt idx="93">
                  <c:v>1.2755256010461724</c:v>
                </c:pt>
                <c:pt idx="94">
                  <c:v>1.2207923486645154</c:v>
                </c:pt>
                <c:pt idx="95">
                  <c:v>1.1898238747553815</c:v>
                </c:pt>
                <c:pt idx="96">
                  <c:v>1.2057201607626882</c:v>
                </c:pt>
                <c:pt idx="97">
                  <c:v>1.2201221908606954</c:v>
                </c:pt>
                <c:pt idx="98">
                  <c:v>1.2336200729353877</c:v>
                </c:pt>
                <c:pt idx="99">
                  <c:v>1.2687312687312686</c:v>
                </c:pt>
                <c:pt idx="100">
                  <c:v>1.2544100352802823</c:v>
                </c:pt>
                <c:pt idx="101">
                  <c:v>1.2469065296021322</c:v>
                </c:pt>
                <c:pt idx="102">
                  <c:v>1.0532837670384139</c:v>
                </c:pt>
                <c:pt idx="103">
                  <c:v>1.1519842218503467</c:v>
                </c:pt>
                <c:pt idx="104">
                  <c:v>1.1868378856195267</c:v>
                </c:pt>
                <c:pt idx="105">
                  <c:v>1.229296066252588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D0E-4FA8-B940-5E4000ADC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8048975"/>
        <c:axId val="578049455"/>
        <c:extLst/>
      </c:lineChart>
      <c:catAx>
        <c:axId val="57804897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049455"/>
        <c:crosses val="autoZero"/>
        <c:auto val="1"/>
        <c:lblAlgn val="ctr"/>
        <c:lblOffset val="100"/>
        <c:noMultiLvlLbl val="0"/>
      </c:catAx>
      <c:valAx>
        <c:axId val="578049455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500" b="1">
                    <a:solidFill>
                      <a:srgbClr val="004376"/>
                    </a:solidFill>
                  </a:rPr>
                  <a:t>% of total average household spending</a:t>
                </a:r>
              </a:p>
            </c:rich>
          </c:tx>
          <c:layout>
            <c:manualLayout>
              <c:xMode val="edge"/>
              <c:yMode val="edge"/>
              <c:x val="1.1323893981008552E-2"/>
              <c:y val="0.130465255137677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048975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162484</xdr:colOff>
      <xdr:row>3</xdr:row>
      <xdr:rowOff>11206</xdr:rowOff>
    </xdr:from>
    <xdr:to>
      <xdr:col>63</xdr:col>
      <xdr:colOff>235323</xdr:colOff>
      <xdr:row>22</xdr:row>
      <xdr:rowOff>313765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D60873-A8E6-8F0F-1CF4-B5347D7F68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52</xdr:col>
      <xdr:colOff>134470</xdr:colOff>
      <xdr:row>23</xdr:row>
      <xdr:rowOff>179294</xdr:rowOff>
    </xdr:from>
    <xdr:to>
      <xdr:col>63</xdr:col>
      <xdr:colOff>207309</xdr:colOff>
      <xdr:row>45</xdr:row>
      <xdr:rowOff>66115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F04C96-3908-42E6-8C33-07867DF53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0.20233</cdr:x>
      <cdr:y>0.15024</cdr:y>
    </cdr:from>
    <cdr:to>
      <cdr:x>0.29559</cdr:x>
      <cdr:y>0.2255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0ACD67D-DDAC-397A-1503-D8D9CCD17AA6}"/>
            </a:ext>
          </a:extLst>
        </cdr:cNvPr>
        <cdr:cNvSpPr txBox="1"/>
      </cdr:nvSpPr>
      <cdr:spPr>
        <a:xfrm xmlns:a="http://schemas.openxmlformats.org/drawingml/2006/main">
          <a:off x="1361515" y="695319"/>
          <a:ext cx="627530" cy="348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B050"/>
              </a:solidFill>
            </a:rPr>
            <a:t>Food</a:t>
          </a:r>
        </a:p>
      </cdr:txBody>
    </cdr:sp>
  </cdr:relSizeAnchor>
  <cdr:relSizeAnchor xmlns:cdr="http://schemas.openxmlformats.org/drawingml/2006/chartDrawing">
    <cdr:from>
      <cdr:x>0.48543</cdr:x>
      <cdr:y>0.61131</cdr:y>
    </cdr:from>
    <cdr:to>
      <cdr:x>0.68859</cdr:x>
      <cdr:y>0.69628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0C48AC7-2002-0054-DD8C-2D9D03DDDBAC}"/>
            </a:ext>
          </a:extLst>
        </cdr:cNvPr>
        <cdr:cNvSpPr txBox="1"/>
      </cdr:nvSpPr>
      <cdr:spPr>
        <a:xfrm xmlns:a="http://schemas.openxmlformats.org/drawingml/2006/main">
          <a:off x="3266516" y="2829163"/>
          <a:ext cx="1367118" cy="393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ysClr val="windowText" lastClr="000000"/>
              </a:solidFill>
            </a:rPr>
            <a:t>Transportation</a:t>
          </a:r>
        </a:p>
      </cdr:txBody>
    </cdr:sp>
  </cdr:relSizeAnchor>
  <cdr:relSizeAnchor xmlns:cdr="http://schemas.openxmlformats.org/drawingml/2006/chartDrawing">
    <cdr:from>
      <cdr:x>0.17402</cdr:x>
      <cdr:y>0.6067</cdr:y>
    </cdr:from>
    <cdr:to>
      <cdr:x>0.30891</cdr:x>
      <cdr:y>0.69653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F1DC96FA-D18F-6223-7B11-E5F7A8447C82}"/>
            </a:ext>
          </a:extLst>
        </cdr:cNvPr>
        <cdr:cNvSpPr txBox="1"/>
      </cdr:nvSpPr>
      <cdr:spPr>
        <a:xfrm xmlns:a="http://schemas.openxmlformats.org/drawingml/2006/main">
          <a:off x="1171018" y="2800351"/>
          <a:ext cx="907676" cy="414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00FF"/>
              </a:solidFill>
            </a:rPr>
            <a:t>Clothing</a:t>
          </a:r>
        </a:p>
      </cdr:txBody>
    </cdr:sp>
  </cdr:relSizeAnchor>
  <cdr:relSizeAnchor xmlns:cdr="http://schemas.openxmlformats.org/drawingml/2006/chartDrawing">
    <cdr:from>
      <cdr:x>0.74688</cdr:x>
      <cdr:y>0.69896</cdr:y>
    </cdr:from>
    <cdr:to>
      <cdr:x>0.91341</cdr:x>
      <cdr:y>0.77179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5D08463-79BE-FD8C-4D19-4EA835DB3918}"/>
            </a:ext>
          </a:extLst>
        </cdr:cNvPr>
        <cdr:cNvSpPr txBox="1"/>
      </cdr:nvSpPr>
      <cdr:spPr>
        <a:xfrm xmlns:a="http://schemas.openxmlformats.org/drawingml/2006/main">
          <a:off x="5025839" y="3226175"/>
          <a:ext cx="1120588" cy="336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4376"/>
              </a:solidFill>
            </a:rPr>
            <a:t>Healthcare</a:t>
          </a:r>
        </a:p>
      </cdr:txBody>
    </cdr:sp>
  </cdr:relSizeAnchor>
  <cdr:relSizeAnchor xmlns:cdr="http://schemas.openxmlformats.org/drawingml/2006/chartDrawing">
    <cdr:from>
      <cdr:x>0.67694</cdr:x>
      <cdr:y>0.31051</cdr:y>
    </cdr:from>
    <cdr:to>
      <cdr:x>1</cdr:x>
      <cdr:y>0.4756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99E27293-A806-1CA9-3DFD-3547AD4D7C19}"/>
            </a:ext>
          </a:extLst>
        </cdr:cNvPr>
        <cdr:cNvSpPr txBox="1"/>
      </cdr:nvSpPr>
      <cdr:spPr>
        <a:xfrm xmlns:a="http://schemas.openxmlformats.org/drawingml/2006/main">
          <a:off x="4555220" y="1437049"/>
          <a:ext cx="2173914" cy="764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663300"/>
              </a:solidFill>
            </a:rPr>
            <a:t>Housing, utilities, household operations,</a:t>
          </a:r>
          <a:r>
            <a:rPr lang="en-US" sz="1400" b="1" baseline="0">
              <a:solidFill>
                <a:srgbClr val="663300"/>
              </a:solidFill>
            </a:rPr>
            <a:t> and furnishings/equipment</a:t>
          </a:r>
          <a:endParaRPr lang="en-US" sz="1400" b="1">
            <a:solidFill>
              <a:srgbClr val="663300"/>
            </a:solidFill>
          </a:endParaRPr>
        </a:p>
      </cdr:txBody>
    </cdr:sp>
  </cdr:relSizeAnchor>
  <cdr:relSizeAnchor xmlns:cdr="http://schemas.openxmlformats.org/drawingml/2006/chartDrawing">
    <cdr:from>
      <cdr:x>0.19827</cdr:x>
      <cdr:y>0.00219</cdr:y>
    </cdr:from>
    <cdr:to>
      <cdr:x>0.99667</cdr:x>
      <cdr:y>0.30266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8FD1A6D7-7DC2-BB5E-10E4-F89C16D27D19}"/>
            </a:ext>
          </a:extLst>
        </cdr:cNvPr>
        <cdr:cNvSpPr txBox="1"/>
      </cdr:nvSpPr>
      <cdr:spPr>
        <a:xfrm xmlns:a="http://schemas.openxmlformats.org/drawingml/2006/main">
          <a:off x="1540811" y="10135"/>
          <a:ext cx="6204591" cy="13905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7030A0"/>
              </a:solidFill>
            </a:rPr>
            <a:t>Food and clothing have plummeted as a share of total spending.    Transportation spending peaked in the 1980s, but has since fallen</a:t>
          </a:r>
          <a:r>
            <a:rPr lang="en-US" sz="1600" b="1" baseline="0">
              <a:solidFill>
                <a:srgbClr val="7030A0"/>
              </a:solidFill>
            </a:rPr>
            <a:t>.  	Health care spending has grown since the late 1980s.  	Housing and related spending  has risen steeply </a:t>
          </a:r>
        </a:p>
        <a:p xmlns:a="http://schemas.openxmlformats.org/drawingml/2006/main">
          <a:r>
            <a:rPr lang="en-US" sz="1600" b="1" baseline="0">
              <a:solidFill>
                <a:srgbClr val="7030A0"/>
              </a:solidFill>
            </a:rPr>
            <a:t>		since 1950.</a:t>
          </a:r>
          <a:endParaRPr lang="en-US" sz="1600" b="1">
            <a:solidFill>
              <a:srgbClr val="7030A0"/>
            </a:solidFill>
          </a:endParaRPr>
        </a:p>
      </cdr:txBody>
    </cdr:sp>
  </cdr:relSizeAnchor>
  <cdr:relSizeAnchor xmlns:cdr="http://schemas.openxmlformats.org/drawingml/2006/chartDrawing">
    <cdr:from>
      <cdr:x>0.11472</cdr:x>
      <cdr:y>0.41889</cdr:y>
    </cdr:from>
    <cdr:to>
      <cdr:x>0.58599</cdr:x>
      <cdr:y>0.60775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BC689B7C-7DB0-BB82-2B18-C0D01EC2F3E4}"/>
            </a:ext>
          </a:extLst>
        </cdr:cNvPr>
        <cdr:cNvSpPr txBox="1"/>
      </cdr:nvSpPr>
      <cdr:spPr>
        <a:xfrm xmlns:a="http://schemas.openxmlformats.org/drawingml/2006/main">
          <a:off x="891548" y="1938635"/>
          <a:ext cx="3662372" cy="874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500" b="1">
              <a:solidFill>
                <a:srgbClr val="7030A0"/>
              </a:solidFill>
            </a:rPr>
            <a:t>In 1900 and earlier, food and clothing constituted more than half the family budget,</a:t>
          </a:r>
          <a:r>
            <a:rPr lang="en-US" sz="1500" b="1" baseline="0">
              <a:solidFill>
                <a:srgbClr val="7030A0"/>
              </a:solidFill>
            </a:rPr>
            <a:t>         but only 15% of it now.</a:t>
          </a:r>
          <a:endParaRPr lang="en-US" sz="1500" b="1">
            <a:solidFill>
              <a:srgbClr val="7030A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0.71774</cdr:x>
      <cdr:y>0.80117</cdr:y>
    </cdr:from>
    <cdr:to>
      <cdr:x>0.90591</cdr:x>
      <cdr:y>0.88128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42B713C-ECB3-CF9B-E9FF-1D7EC63BB2B3}"/>
            </a:ext>
          </a:extLst>
        </cdr:cNvPr>
        <cdr:cNvSpPr txBox="1"/>
      </cdr:nvSpPr>
      <cdr:spPr>
        <a:xfrm xmlns:a="http://schemas.openxmlformats.org/drawingml/2006/main">
          <a:off x="4829737" y="3697942"/>
          <a:ext cx="1266264" cy="3697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00FF"/>
              </a:solidFill>
            </a:rPr>
            <a:t>Personal care</a:t>
          </a:r>
        </a:p>
      </cdr:txBody>
    </cdr:sp>
  </cdr:relSizeAnchor>
  <cdr:relSizeAnchor xmlns:cdr="http://schemas.openxmlformats.org/drawingml/2006/chartDrawing">
    <cdr:from>
      <cdr:x>0.68276</cdr:x>
      <cdr:y>0.47827</cdr:y>
    </cdr:from>
    <cdr:to>
      <cdr:x>0.99417</cdr:x>
      <cdr:y>0.55596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C39983BF-CE33-674E-C5A7-6A9F4972D297}"/>
            </a:ext>
          </a:extLst>
        </cdr:cNvPr>
        <cdr:cNvSpPr txBox="1"/>
      </cdr:nvSpPr>
      <cdr:spPr>
        <a:xfrm xmlns:a="http://schemas.openxmlformats.org/drawingml/2006/main">
          <a:off x="4594412" y="2207559"/>
          <a:ext cx="2095500" cy="358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ysClr val="windowText" lastClr="000000"/>
              </a:solidFill>
            </a:rPr>
            <a:t>Entertainment/recreation</a:t>
          </a:r>
        </a:p>
      </cdr:txBody>
    </cdr:sp>
  </cdr:relSizeAnchor>
  <cdr:relSizeAnchor xmlns:cdr="http://schemas.openxmlformats.org/drawingml/2006/chartDrawing">
    <cdr:from>
      <cdr:x>0.18152</cdr:x>
      <cdr:y>0.80117</cdr:y>
    </cdr:from>
    <cdr:to>
      <cdr:x>0.43797</cdr:x>
      <cdr:y>0.88371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F3B80C92-6DF4-06B3-B628-ADF28B0A5D04}"/>
            </a:ext>
          </a:extLst>
        </cdr:cNvPr>
        <cdr:cNvSpPr txBox="1"/>
      </cdr:nvSpPr>
      <cdr:spPr>
        <a:xfrm xmlns:a="http://schemas.openxmlformats.org/drawingml/2006/main">
          <a:off x="1221442" y="3697942"/>
          <a:ext cx="1725706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4376"/>
              </a:solidFill>
            </a:rPr>
            <a:t>Education &amp; reading</a:t>
          </a:r>
        </a:p>
      </cdr:txBody>
    </cdr:sp>
  </cdr:relSizeAnchor>
  <cdr:relSizeAnchor xmlns:cdr="http://schemas.openxmlformats.org/drawingml/2006/chartDrawing">
    <cdr:from>
      <cdr:x>0.44197</cdr:x>
      <cdr:y>0.54697</cdr:y>
    </cdr:from>
    <cdr:to>
      <cdr:x>0.67178</cdr:x>
      <cdr:y>0.62625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CC3622C1-08A3-6A90-ED2A-C5D7F8C13DF0}"/>
            </a:ext>
          </a:extLst>
        </cdr:cNvPr>
        <cdr:cNvSpPr txBox="1"/>
      </cdr:nvSpPr>
      <cdr:spPr>
        <a:xfrm xmlns:a="http://schemas.openxmlformats.org/drawingml/2006/main">
          <a:off x="2995848" y="2522195"/>
          <a:ext cx="1557753" cy="365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0000"/>
              </a:solidFill>
            </a:rPr>
            <a:t>Alcohol &amp; tobacco</a:t>
          </a:r>
        </a:p>
      </cdr:txBody>
    </cdr:sp>
  </cdr:relSizeAnchor>
  <cdr:relSizeAnchor xmlns:cdr="http://schemas.openxmlformats.org/drawingml/2006/chartDrawing">
    <cdr:from>
      <cdr:x>0.10325</cdr:x>
      <cdr:y>0.00486</cdr:y>
    </cdr:from>
    <cdr:to>
      <cdr:x>1</cdr:x>
      <cdr:y>0.50498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917503AE-3EA5-086D-7EEA-393AC1A31EAE}"/>
            </a:ext>
          </a:extLst>
        </cdr:cNvPr>
        <cdr:cNvSpPr txBox="1"/>
      </cdr:nvSpPr>
      <cdr:spPr>
        <a:xfrm xmlns:a="http://schemas.openxmlformats.org/drawingml/2006/main">
          <a:off x="694766" y="22412"/>
          <a:ext cx="6034367" cy="230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900" b="1">
              <a:solidFill>
                <a:srgbClr val="7030A0"/>
              </a:solidFill>
            </a:rPr>
            <a:t>Human capital spending (education plus reading) constitutes a small fraction of total consumer spending -- not much more than personal care or alcohol</a:t>
          </a:r>
          <a:r>
            <a:rPr lang="en-US" sz="1900" b="1" baseline="0">
              <a:solidFill>
                <a:srgbClr val="7030A0"/>
              </a:solidFill>
            </a:rPr>
            <a:t>/tobacco   spending.  Over time, both personal care and  alcohol and tobacco spending have risen and fallen as a share of total spending.  Both entertainment/recreation and education plus reading spending have grown over time, but  the former has grown by much more.</a:t>
          </a:r>
          <a:endParaRPr lang="en-US" sz="1900" b="1">
            <a:solidFill>
              <a:srgbClr val="7030A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raser.stlouisfed.org/title/annual-report-commissioner-labor-6306/eighteenth-annual-report-commissioner-labor-608452" TargetMode="External"/><Relationship Id="rId13" Type="http://schemas.openxmlformats.org/officeDocument/2006/relationships/hyperlink" Target="https://fraser.stlouisfed.org/title/monthly-labor-review-6130?browse=1980s" TargetMode="External"/><Relationship Id="rId3" Type="http://schemas.openxmlformats.org/officeDocument/2006/relationships/hyperlink" Target="https://data.bls.gov/PDQWeb/cx" TargetMode="External"/><Relationship Id="rId7" Type="http://schemas.openxmlformats.org/officeDocument/2006/relationships/hyperlink" Target="http://www.bls.gov/cex/1973/Standard/age.pdf" TargetMode="External"/><Relationship Id="rId12" Type="http://schemas.openxmlformats.org/officeDocument/2006/relationships/hyperlink" Target="https://fraser.stlouisfed.org/title/consumer-expenditure-survey-integrated-diary-interview-survey-data-1972-73-4688" TargetMode="External"/><Relationship Id="rId2" Type="http://schemas.openxmlformats.org/officeDocument/2006/relationships/hyperlink" Target="https://fraser.stlouisfed.org/title/american-buying-habits-change-7098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bls.gov/opub/mlr/2015/article/consumer-spending-in-world-war-ii-the-forgotten-consumer-expenditure-surveys.htm" TargetMode="External"/><Relationship Id="rId6" Type="http://schemas.openxmlformats.org/officeDocument/2006/relationships/hyperlink" Target="https://fraser.stlouisfed.org/files/docs/publications/bls/bls_1997_1978_v1.pdf" TargetMode="External"/><Relationship Id="rId11" Type="http://schemas.openxmlformats.org/officeDocument/2006/relationships/hyperlink" Target="https://fraser.stlouisfed.org/title/monthly-labor-review-6130?browse=1940s" TargetMode="External"/><Relationship Id="rId5" Type="http://schemas.openxmlformats.org/officeDocument/2006/relationships/hyperlink" Target="http://www.bls.gov/cex/research_papers/pdf/1960-to-1961-biennial-report.pdf" TargetMode="External"/><Relationship Id="rId15" Type="http://schemas.openxmlformats.org/officeDocument/2006/relationships/hyperlink" Target="https://babel.hathitrust.org/cgi/pt?id=umn.31951003050643h&amp;seq=3" TargetMode="External"/><Relationship Id="rId10" Type="http://schemas.openxmlformats.org/officeDocument/2006/relationships/hyperlink" Target="https://fraser.stlouisfed.org/title/money-disbursements-wage-earners-clerical-workers-1934-36-summary-volume-4151" TargetMode="External"/><Relationship Id="rId4" Type="http://schemas.openxmlformats.org/officeDocument/2006/relationships/hyperlink" Target="http://www.ars.usda.gov/ARSUserFiles/80400530/pdf/hist/bls_1945_bul_822.pdf" TargetMode="External"/><Relationship Id="rId9" Type="http://schemas.openxmlformats.org/officeDocument/2006/relationships/hyperlink" Target="https://fraser.stlouisfed.org/files/docs/publications/bls/bls_0357_1924.pdf" TargetMode="External"/><Relationship Id="rId14" Type="http://schemas.openxmlformats.org/officeDocument/2006/relationships/hyperlink" Target="https://fraser.stlouisfed.org/title/monthly-labor-review-6130?browse=1980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EEAE-5FDA-41A1-B88B-81D82DE63542}">
  <dimension ref="A1:BA25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22.5703125" style="4" customWidth="1"/>
    <col min="2" max="2" width="10.85546875" style="14" customWidth="1"/>
    <col min="3" max="3" width="13.28515625" style="15" customWidth="1"/>
    <col min="4" max="4" width="9.42578125" style="7" customWidth="1"/>
    <col min="5" max="5" width="10.7109375" style="7" customWidth="1"/>
    <col min="6" max="6" width="6.85546875" style="7" customWidth="1"/>
    <col min="7" max="8" width="8.5703125" style="7" customWidth="1"/>
    <col min="9" max="9" width="8.140625" style="7" customWidth="1"/>
    <col min="10" max="10" width="14.28515625" style="18" customWidth="1"/>
    <col min="11" max="11" width="10.85546875" style="7" customWidth="1"/>
    <col min="12" max="12" width="7.85546875" style="7" customWidth="1"/>
    <col min="13" max="13" width="8.28515625" style="7" customWidth="1"/>
    <col min="14" max="14" width="12" style="7" customWidth="1"/>
    <col min="15" max="15" width="14" style="7" customWidth="1"/>
    <col min="16" max="17" width="9.140625" style="7"/>
    <col min="18" max="18" width="13.42578125" style="7" customWidth="1"/>
    <col min="19" max="19" width="9.140625" style="7"/>
    <col min="20" max="20" width="9.85546875" style="7" customWidth="1"/>
    <col min="21" max="21" width="9.140625" style="7"/>
    <col min="22" max="22" width="3" style="7" customWidth="1"/>
    <col min="23" max="23" width="9" style="21" customWidth="1"/>
    <col min="24" max="27" width="9.140625" style="11"/>
    <col min="28" max="28" width="13.7109375" style="20" customWidth="1"/>
    <col min="29" max="29" width="12" style="11" customWidth="1"/>
    <col min="30" max="31" width="8.42578125" style="11" customWidth="1"/>
    <col min="32" max="32" width="11.140625" style="11" customWidth="1"/>
    <col min="33" max="33" width="9.140625" style="11"/>
    <col min="34" max="34" width="7" style="11" customWidth="1"/>
    <col min="35" max="35" width="9.140625" style="11"/>
    <col min="36" max="36" width="13.42578125" style="11" customWidth="1"/>
    <col min="37" max="37" width="8.42578125" style="11" customWidth="1"/>
    <col min="38" max="38" width="10" style="11" customWidth="1"/>
    <col min="39" max="39" width="9.140625" style="11"/>
    <col min="40" max="40" width="4.140625" style="11" customWidth="1"/>
    <col min="41" max="42" width="9.140625" style="11"/>
    <col min="43" max="43" width="13.28515625" style="1" customWidth="1"/>
    <col min="44" max="44" width="4.140625" style="1" customWidth="1"/>
    <col min="45" max="45" width="12.42578125" style="1" customWidth="1"/>
    <col min="46" max="48" width="10.42578125" style="1" customWidth="1"/>
    <col min="49" max="49" width="3.7109375" style="1" customWidth="1"/>
    <col min="50" max="51" width="9.5703125" style="23" customWidth="1"/>
    <col min="52" max="52" width="20.28515625" style="23" customWidth="1"/>
    <col min="53" max="53" width="24.7109375" style="1" customWidth="1"/>
    <col min="54" max="16384" width="9.140625" style="1"/>
  </cols>
  <sheetData>
    <row r="1" spans="1:53" s="3" customFormat="1" ht="48" customHeight="1" x14ac:dyDescent="0.25">
      <c r="A1" s="2" t="s">
        <v>0</v>
      </c>
      <c r="B1" s="12" t="s">
        <v>1</v>
      </c>
      <c r="C1" s="16" t="s">
        <v>14</v>
      </c>
      <c r="D1" s="5" t="s">
        <v>15</v>
      </c>
      <c r="E1" s="5" t="s">
        <v>8</v>
      </c>
      <c r="F1" s="5" t="s">
        <v>3</v>
      </c>
      <c r="G1" s="5" t="s">
        <v>4</v>
      </c>
      <c r="H1" s="5" t="s">
        <v>5</v>
      </c>
      <c r="I1" s="3" t="s">
        <v>93</v>
      </c>
      <c r="J1" s="6" t="s">
        <v>6</v>
      </c>
      <c r="K1" s="5" t="s">
        <v>18</v>
      </c>
      <c r="L1" s="5" t="s">
        <v>16</v>
      </c>
      <c r="M1" s="5" t="s">
        <v>17</v>
      </c>
      <c r="N1" s="5" t="s">
        <v>19</v>
      </c>
      <c r="O1" s="5" t="s">
        <v>20</v>
      </c>
      <c r="P1" s="5" t="s">
        <v>133</v>
      </c>
      <c r="Q1" s="5" t="s">
        <v>21</v>
      </c>
      <c r="R1" s="5" t="s">
        <v>34</v>
      </c>
      <c r="S1" s="5" t="s">
        <v>22</v>
      </c>
      <c r="T1" s="5" t="s">
        <v>23</v>
      </c>
      <c r="U1" s="5" t="s">
        <v>24</v>
      </c>
      <c r="V1" s="5"/>
      <c r="W1" s="8" t="s">
        <v>7</v>
      </c>
      <c r="X1" s="9" t="s">
        <v>3</v>
      </c>
      <c r="Y1" s="9" t="s">
        <v>4</v>
      </c>
      <c r="Z1" s="9" t="s">
        <v>5</v>
      </c>
      <c r="AA1" s="3" t="s">
        <v>93</v>
      </c>
      <c r="AB1" s="10" t="s">
        <v>6</v>
      </c>
      <c r="AC1" s="5" t="s">
        <v>18</v>
      </c>
      <c r="AD1" s="5" t="s">
        <v>16</v>
      </c>
      <c r="AE1" s="5" t="s">
        <v>17</v>
      </c>
      <c r="AF1" s="5" t="s">
        <v>19</v>
      </c>
      <c r="AG1" s="5" t="s">
        <v>20</v>
      </c>
      <c r="AH1" s="5" t="s">
        <v>133</v>
      </c>
      <c r="AI1" s="5" t="s">
        <v>21</v>
      </c>
      <c r="AJ1" s="5" t="s">
        <v>34</v>
      </c>
      <c r="AK1" s="5" t="s">
        <v>22</v>
      </c>
      <c r="AL1" s="5" t="s">
        <v>23</v>
      </c>
      <c r="AM1" s="5" t="s">
        <v>24</v>
      </c>
      <c r="AN1" s="9"/>
      <c r="AO1" s="9" t="s">
        <v>13</v>
      </c>
      <c r="AP1" s="9" t="s">
        <v>9</v>
      </c>
      <c r="AQ1" s="9" t="s">
        <v>25</v>
      </c>
      <c r="AS1" s="3" t="s">
        <v>33</v>
      </c>
      <c r="AT1" s="3" t="s">
        <v>32</v>
      </c>
      <c r="AU1" s="3" t="s">
        <v>92</v>
      </c>
      <c r="AV1" s="3" t="s">
        <v>94</v>
      </c>
      <c r="AX1" s="9" t="s">
        <v>42</v>
      </c>
      <c r="AY1" s="9" t="s">
        <v>43</v>
      </c>
      <c r="AZ1" s="9" t="s">
        <v>41</v>
      </c>
      <c r="BA1" s="3" t="s">
        <v>143</v>
      </c>
    </row>
    <row r="2" spans="1:53" s="3" customFormat="1" x14ac:dyDescent="0.25">
      <c r="A2" s="4"/>
      <c r="B2" s="13"/>
      <c r="C2" s="16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2" t="s">
        <v>26</v>
      </c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9"/>
      <c r="AO2" s="9"/>
      <c r="AP2" s="9"/>
      <c r="AX2" s="9"/>
      <c r="AY2" s="9"/>
      <c r="AZ2" s="9"/>
    </row>
    <row r="3" spans="1:53" s="3" customFormat="1" x14ac:dyDescent="0.25">
      <c r="A3" s="4"/>
      <c r="B3" s="13"/>
      <c r="C3" s="16"/>
      <c r="D3" s="5"/>
      <c r="E3" s="5"/>
      <c r="F3" s="5"/>
      <c r="G3" s="5"/>
      <c r="H3" s="5"/>
      <c r="I3" s="5"/>
      <c r="J3" s="1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9"/>
      <c r="X3" s="9"/>
      <c r="Y3" s="9"/>
      <c r="Z3" s="9"/>
      <c r="AA3" s="9"/>
      <c r="AB3" s="1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X3" s="9"/>
      <c r="AY3" s="9"/>
      <c r="AZ3" s="9"/>
    </row>
    <row r="4" spans="1:53" ht="57" x14ac:dyDescent="0.25">
      <c r="A4" s="4" t="s">
        <v>11</v>
      </c>
      <c r="B4" s="14" t="s">
        <v>2</v>
      </c>
      <c r="C4" s="15">
        <v>397</v>
      </c>
      <c r="D4" s="7">
        <v>763</v>
      </c>
      <c r="E4" s="7">
        <v>738</v>
      </c>
      <c r="F4" s="7">
        <v>427</v>
      </c>
      <c r="G4" s="7">
        <v>106</v>
      </c>
      <c r="H4" s="7">
        <v>117</v>
      </c>
      <c r="I4" s="7">
        <v>44</v>
      </c>
      <c r="J4" s="18">
        <v>44</v>
      </c>
      <c r="W4" s="21">
        <f t="shared" ref="W4:W6" si="0">(E4/E4)*100</f>
        <v>100</v>
      </c>
      <c r="X4" s="11">
        <f>(F4/$E$4)*100</f>
        <v>57.859078590785906</v>
      </c>
      <c r="Y4" s="11">
        <f>(G4/$E$4)*100</f>
        <v>14.363143631436316</v>
      </c>
      <c r="Z4" s="11">
        <f>(H4/$E$4)*100</f>
        <v>15.853658536585366</v>
      </c>
      <c r="AA4" s="11">
        <f>(I4/$E$4)*100</f>
        <v>5.9620596205962055</v>
      </c>
      <c r="AB4" s="20">
        <f>(J4/$E$4)*100</f>
        <v>5.9620596205962055</v>
      </c>
      <c r="AO4" s="11">
        <f>(E4/D4)*100</f>
        <v>96.723460026212322</v>
      </c>
      <c r="AP4" s="11">
        <f>SUM(X4:AB4)</f>
        <v>100.00000000000001</v>
      </c>
      <c r="AZ4" s="23">
        <f>Z4+AA4+AC4+AF4</f>
        <v>21.815718157181571</v>
      </c>
    </row>
    <row r="5" spans="1:53" x14ac:dyDescent="0.25">
      <c r="A5" s="4" t="s">
        <v>10</v>
      </c>
      <c r="B5" s="14" t="s">
        <v>12</v>
      </c>
      <c r="C5" s="15">
        <v>2562</v>
      </c>
      <c r="D5" s="7">
        <v>573</v>
      </c>
      <c r="E5" s="7">
        <v>534</v>
      </c>
      <c r="F5" s="7">
        <v>219</v>
      </c>
      <c r="G5" s="7">
        <v>82</v>
      </c>
      <c r="H5" s="7">
        <v>80</v>
      </c>
      <c r="I5" s="7">
        <v>32</v>
      </c>
      <c r="J5" s="18">
        <v>121</v>
      </c>
      <c r="W5" s="21">
        <f t="shared" si="0"/>
        <v>100</v>
      </c>
      <c r="X5" s="11">
        <f>(F5/$E$5)*100</f>
        <v>41.011235955056179</v>
      </c>
      <c r="Y5" s="11">
        <f>(G5/$E$5)*100</f>
        <v>15.355805243445692</v>
      </c>
      <c r="Z5" s="11">
        <f>(H5/$E$5)*100</f>
        <v>14.981273408239701</v>
      </c>
      <c r="AA5" s="11">
        <f>(I5/$E$5)*100</f>
        <v>5.9925093632958806</v>
      </c>
      <c r="AB5" s="20">
        <f>(J5/$E$5)*100</f>
        <v>22.659176029962545</v>
      </c>
      <c r="AO5" s="11">
        <f>(E5/D5)*100</f>
        <v>93.193717277486911</v>
      </c>
      <c r="AP5" s="11">
        <f>SUM(X5:AB5)</f>
        <v>100</v>
      </c>
      <c r="AZ5" s="23">
        <f>Z5+AA5+AC5+AF5</f>
        <v>20.973782771535582</v>
      </c>
    </row>
    <row r="6" spans="1:53" ht="28.5" x14ac:dyDescent="0.25">
      <c r="A6" s="4">
        <v>1901</v>
      </c>
      <c r="B6" s="14" t="s">
        <v>27</v>
      </c>
      <c r="C6" s="15">
        <v>11156</v>
      </c>
      <c r="D6" s="7">
        <v>651</v>
      </c>
      <c r="E6" s="7">
        <v>618</v>
      </c>
      <c r="F6" s="7">
        <v>266</v>
      </c>
      <c r="G6" s="7">
        <v>80</v>
      </c>
      <c r="H6" s="7">
        <v>112</v>
      </c>
      <c r="I6" s="7">
        <v>35</v>
      </c>
      <c r="J6" s="18">
        <v>124</v>
      </c>
      <c r="W6" s="21">
        <f t="shared" si="0"/>
        <v>100</v>
      </c>
      <c r="X6" s="11">
        <f>(F6/$E$6)*100</f>
        <v>43.042071197411005</v>
      </c>
      <c r="Y6" s="11">
        <f>(G6/$E$6)*100</f>
        <v>12.944983818770226</v>
      </c>
      <c r="Z6" s="11">
        <f>(H6/$E$6)*100</f>
        <v>18.122977346278319</v>
      </c>
      <c r="AA6" s="11">
        <f>(I6/$E$6)*100</f>
        <v>5.6634304207119746</v>
      </c>
      <c r="AB6" s="20">
        <f>(J6/$E$6)*100</f>
        <v>20.064724919093852</v>
      </c>
      <c r="AG6" s="56">
        <v>2</v>
      </c>
      <c r="AO6" s="11">
        <f>(E6/D6)*100</f>
        <v>94.930875576036868</v>
      </c>
      <c r="AP6" s="11">
        <f>SUM(X6:AB6)</f>
        <v>99.838187702265373</v>
      </c>
      <c r="AZ6" s="23">
        <f>Z6+AA6+AC6+AF6</f>
        <v>23.786407766990294</v>
      </c>
    </row>
    <row r="7" spans="1:53" x14ac:dyDescent="0.25">
      <c r="A7" s="4">
        <v>1902</v>
      </c>
    </row>
    <row r="8" spans="1:53" x14ac:dyDescent="0.25">
      <c r="A8" s="4">
        <v>1903</v>
      </c>
    </row>
    <row r="9" spans="1:53" x14ac:dyDescent="0.25">
      <c r="A9" s="4">
        <v>1904</v>
      </c>
    </row>
    <row r="10" spans="1:53" x14ac:dyDescent="0.25">
      <c r="A10" s="4">
        <v>1905</v>
      </c>
    </row>
    <row r="11" spans="1:53" x14ac:dyDescent="0.25">
      <c r="A11" s="4">
        <v>1906</v>
      </c>
    </row>
    <row r="12" spans="1:53" x14ac:dyDescent="0.25">
      <c r="A12" s="4">
        <v>1907</v>
      </c>
    </row>
    <row r="13" spans="1:53" x14ac:dyDescent="0.25">
      <c r="A13" s="4">
        <v>1908</v>
      </c>
    </row>
    <row r="14" spans="1:53" x14ac:dyDescent="0.25">
      <c r="A14" s="4">
        <v>1909</v>
      </c>
    </row>
    <row r="15" spans="1:53" x14ac:dyDescent="0.25">
      <c r="A15" s="4">
        <v>1910</v>
      </c>
    </row>
    <row r="16" spans="1:53" x14ac:dyDescent="0.25">
      <c r="A16" s="4">
        <v>1911</v>
      </c>
    </row>
    <row r="17" spans="1:52" x14ac:dyDescent="0.25">
      <c r="A17" s="4">
        <v>1912</v>
      </c>
    </row>
    <row r="18" spans="1:52" x14ac:dyDescent="0.25">
      <c r="A18" s="4">
        <v>1913</v>
      </c>
    </row>
    <row r="19" spans="1:52" x14ac:dyDescent="0.25">
      <c r="A19" s="4">
        <v>1914</v>
      </c>
    </row>
    <row r="20" spans="1:52" x14ac:dyDescent="0.25">
      <c r="A20" s="4">
        <v>1915</v>
      </c>
    </row>
    <row r="21" spans="1:52" x14ac:dyDescent="0.25">
      <c r="A21" s="4">
        <v>1916</v>
      </c>
    </row>
    <row r="22" spans="1:52" x14ac:dyDescent="0.25">
      <c r="A22" s="4">
        <v>1917</v>
      </c>
    </row>
    <row r="23" spans="1:52" ht="29.25" customHeight="1" x14ac:dyDescent="0.25">
      <c r="A23" s="4">
        <v>1918</v>
      </c>
      <c r="B23" s="22" t="s">
        <v>38</v>
      </c>
      <c r="C23" s="15">
        <v>12096</v>
      </c>
      <c r="D23" s="7">
        <v>1505</v>
      </c>
      <c r="E23" s="7">
        <v>1352</v>
      </c>
      <c r="F23" s="7">
        <v>549</v>
      </c>
      <c r="G23" s="7">
        <v>238</v>
      </c>
      <c r="H23" s="7">
        <v>187</v>
      </c>
      <c r="I23" s="7">
        <v>74</v>
      </c>
      <c r="J23" s="18">
        <f>E23-(F23+G23+H23+I23)</f>
        <v>304</v>
      </c>
      <c r="K23" s="7">
        <v>37</v>
      </c>
      <c r="L23" s="7">
        <v>7</v>
      </c>
      <c r="M23" s="7">
        <v>17</v>
      </c>
      <c r="N23" s="7">
        <v>62</v>
      </c>
      <c r="O23" s="7">
        <f>16+26</f>
        <v>42</v>
      </c>
      <c r="P23" s="7">
        <v>64</v>
      </c>
      <c r="Q23" s="7">
        <v>14</v>
      </c>
      <c r="R23" s="7">
        <v>33</v>
      </c>
      <c r="S23" s="7">
        <v>11</v>
      </c>
      <c r="T23" s="7">
        <v>7</v>
      </c>
      <c r="U23" s="7">
        <v>10</v>
      </c>
      <c r="W23" s="21">
        <f>(E23/E23)*100</f>
        <v>100</v>
      </c>
      <c r="X23" s="11">
        <f t="shared" ref="X23:AM23" si="1">(F23/$E$23)*100</f>
        <v>40.606508875739642</v>
      </c>
      <c r="Y23" s="11">
        <f t="shared" si="1"/>
        <v>17.603550295857989</v>
      </c>
      <c r="Z23" s="11">
        <f t="shared" si="1"/>
        <v>13.831360946745564</v>
      </c>
      <c r="AA23" s="11">
        <f t="shared" si="1"/>
        <v>5.4733727810650894</v>
      </c>
      <c r="AB23" s="20">
        <f t="shared" si="1"/>
        <v>22.485207100591715</v>
      </c>
      <c r="AC23" s="11">
        <f t="shared" si="1"/>
        <v>2.7366863905325447</v>
      </c>
      <c r="AD23" s="11">
        <f t="shared" si="1"/>
        <v>0.51775147928994092</v>
      </c>
      <c r="AE23" s="11">
        <f t="shared" si="1"/>
        <v>1.2573964497041421</v>
      </c>
      <c r="AF23" s="11">
        <f t="shared" si="1"/>
        <v>4.5857988165680474</v>
      </c>
      <c r="AG23" s="11">
        <f t="shared" si="1"/>
        <v>3.1065088757396451</v>
      </c>
      <c r="AH23" s="11">
        <f t="shared" si="1"/>
        <v>4.7337278106508878</v>
      </c>
      <c r="AI23" s="11">
        <f t="shared" si="1"/>
        <v>1.0355029585798818</v>
      </c>
      <c r="AJ23" s="11">
        <f t="shared" si="1"/>
        <v>2.440828402366864</v>
      </c>
      <c r="AK23" s="11">
        <f t="shared" si="1"/>
        <v>0.81360946745562135</v>
      </c>
      <c r="AL23" s="11">
        <f t="shared" si="1"/>
        <v>0.51775147928994092</v>
      </c>
      <c r="AM23" s="11">
        <f t="shared" si="1"/>
        <v>0.73964497041420119</v>
      </c>
      <c r="AO23" s="11">
        <f>(E23/D23)*100</f>
        <v>89.833887043189364</v>
      </c>
      <c r="AP23" s="11">
        <f>SUM(X23:AB23)</f>
        <v>100</v>
      </c>
      <c r="AQ23" s="11">
        <f>SUM(AC23:AM23)</f>
        <v>22.485207100591719</v>
      </c>
      <c r="AX23" s="23">
        <f t="shared" ref="AX23:AX65" si="2">AD23+AE23</f>
        <v>1.775147928994083</v>
      </c>
      <c r="AY23" s="23">
        <f>AK23+AL23</f>
        <v>1.3313609467455623</v>
      </c>
      <c r="AZ23" s="23">
        <f>Z23+AA23+AC23+AF23</f>
        <v>26.627218934911244</v>
      </c>
    </row>
    <row r="24" spans="1:52" x14ac:dyDescent="0.25">
      <c r="A24" s="4">
        <v>1919</v>
      </c>
    </row>
    <row r="25" spans="1:52" x14ac:dyDescent="0.25">
      <c r="A25" s="4">
        <v>1920</v>
      </c>
    </row>
    <row r="26" spans="1:52" x14ac:dyDescent="0.25">
      <c r="A26" s="4">
        <v>1921</v>
      </c>
    </row>
    <row r="27" spans="1:52" x14ac:dyDescent="0.25">
      <c r="A27" s="4">
        <v>1922</v>
      </c>
    </row>
    <row r="28" spans="1:52" x14ac:dyDescent="0.25">
      <c r="A28" s="4">
        <v>1923</v>
      </c>
    </row>
    <row r="29" spans="1:52" x14ac:dyDescent="0.25">
      <c r="A29" s="4">
        <v>1924</v>
      </c>
    </row>
    <row r="30" spans="1:52" x14ac:dyDescent="0.25">
      <c r="A30" s="4">
        <v>1925</v>
      </c>
    </row>
    <row r="31" spans="1:52" x14ac:dyDescent="0.25">
      <c r="A31" s="4">
        <v>1926</v>
      </c>
    </row>
    <row r="32" spans="1:52" x14ac:dyDescent="0.25">
      <c r="A32" s="4">
        <v>1927</v>
      </c>
    </row>
    <row r="33" spans="1:52" x14ac:dyDescent="0.25">
      <c r="A33" s="4">
        <v>1928</v>
      </c>
    </row>
    <row r="34" spans="1:52" x14ac:dyDescent="0.25">
      <c r="A34" s="4">
        <v>1929</v>
      </c>
    </row>
    <row r="35" spans="1:52" x14ac:dyDescent="0.25">
      <c r="A35" s="4">
        <v>1930</v>
      </c>
    </row>
    <row r="36" spans="1:52" x14ac:dyDescent="0.25">
      <c r="A36" s="4">
        <v>1931</v>
      </c>
    </row>
    <row r="37" spans="1:52" x14ac:dyDescent="0.25">
      <c r="A37" s="4">
        <v>1932</v>
      </c>
    </row>
    <row r="38" spans="1:52" x14ac:dyDescent="0.25">
      <c r="A38" s="4">
        <v>1933</v>
      </c>
    </row>
    <row r="39" spans="1:52" x14ac:dyDescent="0.25">
      <c r="A39" s="4">
        <v>1934</v>
      </c>
    </row>
    <row r="40" spans="1:52" ht="57" x14ac:dyDescent="0.25">
      <c r="A40" s="4">
        <v>1935</v>
      </c>
      <c r="B40" s="14" t="s">
        <v>39</v>
      </c>
      <c r="C40" s="15">
        <v>14469</v>
      </c>
      <c r="D40" s="7">
        <v>1518</v>
      </c>
      <c r="E40" s="7">
        <v>1463</v>
      </c>
      <c r="F40" s="7">
        <v>508</v>
      </c>
      <c r="G40" s="7">
        <v>160</v>
      </c>
      <c r="H40" s="7">
        <v>259</v>
      </c>
      <c r="I40" s="7">
        <v>108</v>
      </c>
      <c r="J40" s="18">
        <f>E40-(F40+G40+H40+I40)</f>
        <v>428</v>
      </c>
      <c r="K40" s="7">
        <v>58</v>
      </c>
      <c r="M40" s="7">
        <v>29</v>
      </c>
      <c r="N40" s="7">
        <v>60</v>
      </c>
      <c r="O40" s="7">
        <f>87+38</f>
        <v>125</v>
      </c>
      <c r="P40" s="7">
        <v>59</v>
      </c>
      <c r="Q40" s="7">
        <v>30</v>
      </c>
      <c r="R40" s="7">
        <v>38</v>
      </c>
      <c r="S40" s="7">
        <v>15</v>
      </c>
      <c r="T40" s="7">
        <v>7</v>
      </c>
      <c r="U40" s="7">
        <v>7</v>
      </c>
      <c r="W40" s="21">
        <f>(E40/E40)*100</f>
        <v>100</v>
      </c>
      <c r="X40" s="11">
        <f>((F40/$E$40)*100)-AD40</f>
        <v>33.423171565276832</v>
      </c>
      <c r="Y40" s="11">
        <f>(G40/$E$40)*100</f>
        <v>10.936431989063568</v>
      </c>
      <c r="Z40" s="11">
        <f>(H40/$E$40)*100</f>
        <v>17.703349282296653</v>
      </c>
      <c r="AA40" s="11">
        <f>(I40/$E$40)*100</f>
        <v>7.3820915926179076</v>
      </c>
      <c r="AB40" s="20">
        <f>(J40/$E$40)*100</f>
        <v>29.254955570745047</v>
      </c>
      <c r="AC40" s="11">
        <f>(K40/$E$40)*100</f>
        <v>3.9644565960355433</v>
      </c>
      <c r="AD40" s="11">
        <v>1.3</v>
      </c>
      <c r="AE40" s="11">
        <f t="shared" ref="AE40:AM40" si="3">(M40/$E$40)*100</f>
        <v>1.9822282980177717</v>
      </c>
      <c r="AF40" s="11">
        <f t="shared" si="3"/>
        <v>4.1011619958988383</v>
      </c>
      <c r="AG40" s="11">
        <f t="shared" si="3"/>
        <v>8.5440874914559117</v>
      </c>
      <c r="AH40" s="11">
        <f t="shared" si="3"/>
        <v>4.0328092959671906</v>
      </c>
      <c r="AI40" s="11">
        <f t="shared" si="3"/>
        <v>2.0505809979494192</v>
      </c>
      <c r="AJ40" s="11">
        <f t="shared" si="3"/>
        <v>2.5974025974025974</v>
      </c>
      <c r="AK40" s="11">
        <f t="shared" si="3"/>
        <v>1.0252904989747096</v>
      </c>
      <c r="AL40" s="11">
        <f t="shared" si="3"/>
        <v>0.4784688995215311</v>
      </c>
      <c r="AM40" s="11">
        <f t="shared" si="3"/>
        <v>0.4784688995215311</v>
      </c>
      <c r="AO40" s="11">
        <f>(E40/D40)*100</f>
        <v>96.376811594202891</v>
      </c>
      <c r="AP40" s="11">
        <f>SUM(X40:AB40)</f>
        <v>98.700000000000017</v>
      </c>
      <c r="AQ40" s="11">
        <f>SUM(AC40:AM40)</f>
        <v>30.55495557074504</v>
      </c>
      <c r="AX40" s="23">
        <f t="shared" si="2"/>
        <v>3.2822282980177717</v>
      </c>
      <c r="AY40" s="23">
        <f t="shared" ref="AY40:AY65" si="4">AK40+AL40</f>
        <v>1.5037593984962407</v>
      </c>
      <c r="AZ40" s="23">
        <f>Z40+AA40+AC40+AF40</f>
        <v>33.151059466848942</v>
      </c>
    </row>
    <row r="41" spans="1:52" x14ac:dyDescent="0.25">
      <c r="A41" s="4">
        <v>1936</v>
      </c>
      <c r="AQ41" s="11"/>
    </row>
    <row r="42" spans="1:52" x14ac:dyDescent="0.25">
      <c r="A42" s="4">
        <v>1937</v>
      </c>
      <c r="AQ42" s="11"/>
    </row>
    <row r="43" spans="1:52" x14ac:dyDescent="0.25">
      <c r="A43" s="4">
        <v>1938</v>
      </c>
      <c r="AQ43" s="11"/>
    </row>
    <row r="44" spans="1:52" x14ac:dyDescent="0.25">
      <c r="A44" s="4">
        <v>1939</v>
      </c>
      <c r="AQ44" s="11"/>
    </row>
    <row r="45" spans="1:52" x14ac:dyDescent="0.25">
      <c r="A45" s="4">
        <v>1940</v>
      </c>
      <c r="AQ45" s="11"/>
    </row>
    <row r="46" spans="1:52" x14ac:dyDescent="0.25">
      <c r="A46" s="4">
        <v>1941</v>
      </c>
      <c r="B46" s="25" t="s">
        <v>44</v>
      </c>
      <c r="C46" s="15">
        <v>3060</v>
      </c>
      <c r="D46" s="7">
        <v>1974</v>
      </c>
      <c r="E46" s="7">
        <v>1666</v>
      </c>
      <c r="F46" s="7">
        <f>516-L46</f>
        <v>493.73</v>
      </c>
      <c r="G46" s="7">
        <v>205</v>
      </c>
      <c r="H46" s="7">
        <f>290-I46</f>
        <v>202.01999999999998</v>
      </c>
      <c r="I46" s="7">
        <f>13.72+9.85+8.26+4.18+2.52+3.43+27.38+14.85+2.98+0.81</f>
        <v>87.98</v>
      </c>
      <c r="J46" s="18">
        <f>E46-(F46+G46+H46+I46)</f>
        <v>677.27</v>
      </c>
      <c r="K46" s="7">
        <v>85</v>
      </c>
      <c r="L46" s="7">
        <f>10.87+9.84+1.56</f>
        <v>22.27</v>
      </c>
      <c r="M46" s="7">
        <v>35</v>
      </c>
      <c r="N46" s="7">
        <v>93</v>
      </c>
      <c r="O46" s="7">
        <v>205</v>
      </c>
      <c r="P46" s="7">
        <v>84</v>
      </c>
      <c r="Q46" s="7">
        <v>36</v>
      </c>
      <c r="R46" s="7">
        <v>69</v>
      </c>
      <c r="S46" s="7">
        <v>16</v>
      </c>
      <c r="T46" s="7">
        <v>15</v>
      </c>
      <c r="U46" s="7">
        <v>17</v>
      </c>
      <c r="W46" s="21">
        <f>(E46/$E$46)*100</f>
        <v>100</v>
      </c>
      <c r="X46" s="11">
        <f t="shared" ref="X46:AM46" si="5">(F46/$E$46)*100</f>
        <v>29.63565426170468</v>
      </c>
      <c r="Y46" s="11">
        <f>(G46/$E$46)*100</f>
        <v>12.304921968787514</v>
      </c>
      <c r="Z46" s="11">
        <f t="shared" si="5"/>
        <v>12.126050420168067</v>
      </c>
      <c r="AA46" s="11">
        <f t="shared" si="5"/>
        <v>5.2809123649459782</v>
      </c>
      <c r="AB46" s="20">
        <f>(J46/$E$46)*100</f>
        <v>40.652460984393755</v>
      </c>
      <c r="AC46" s="11">
        <f t="shared" si="5"/>
        <v>5.1020408163265305</v>
      </c>
      <c r="AD46" s="11">
        <f t="shared" si="5"/>
        <v>1.3367346938775508</v>
      </c>
      <c r="AE46" s="11">
        <f t="shared" si="5"/>
        <v>2.1008403361344539</v>
      </c>
      <c r="AF46" s="11">
        <f t="shared" si="5"/>
        <v>5.5822328931572631</v>
      </c>
      <c r="AG46" s="11">
        <f t="shared" si="5"/>
        <v>12.304921968787514</v>
      </c>
      <c r="AH46" s="11">
        <f t="shared" si="5"/>
        <v>5.0420168067226889</v>
      </c>
      <c r="AI46" s="11">
        <f t="shared" si="5"/>
        <v>2.1608643457382954</v>
      </c>
      <c r="AJ46" s="11">
        <f t="shared" si="5"/>
        <v>4.1416566626650653</v>
      </c>
      <c r="AK46" s="11">
        <f t="shared" si="5"/>
        <v>0.96038415366146457</v>
      </c>
      <c r="AL46" s="11">
        <f t="shared" si="5"/>
        <v>0.90036014405762299</v>
      </c>
      <c r="AM46" s="11">
        <f t="shared" si="5"/>
        <v>1.0204081632653061</v>
      </c>
      <c r="AO46" s="11">
        <f>(E46/D46)*100</f>
        <v>84.39716312056737</v>
      </c>
      <c r="AP46" s="11">
        <f>SUM(X46:AB46)</f>
        <v>100</v>
      </c>
      <c r="AQ46" s="11">
        <f>SUM(AC46:AM46)</f>
        <v>40.652460984393755</v>
      </c>
      <c r="AX46" s="23">
        <f t="shared" ref="AX46" si="6">AD46+AE46</f>
        <v>3.4375750300120047</v>
      </c>
      <c r="AY46" s="23">
        <f t="shared" ref="AY46" si="7">AK46+AL46</f>
        <v>1.8607442977190876</v>
      </c>
      <c r="AZ46" s="23">
        <f>Z46+AA46+AC46+AF46</f>
        <v>28.091236494597837</v>
      </c>
    </row>
    <row r="47" spans="1:52" ht="15" customHeight="1" x14ac:dyDescent="0.25">
      <c r="A47" s="4">
        <v>1942</v>
      </c>
      <c r="B47" s="25" t="s">
        <v>44</v>
      </c>
      <c r="C47" s="15">
        <v>3060</v>
      </c>
      <c r="D47" s="7">
        <v>2060</v>
      </c>
      <c r="E47" s="7">
        <v>1640</v>
      </c>
      <c r="F47" s="7">
        <v>544</v>
      </c>
      <c r="G47" s="7">
        <v>200</v>
      </c>
      <c r="H47" s="64">
        <v>304</v>
      </c>
      <c r="I47" s="70"/>
      <c r="J47" s="18">
        <f>E47-(F47+G47+H47+I47)</f>
        <v>592</v>
      </c>
      <c r="K47" s="7">
        <v>84</v>
      </c>
      <c r="M47" s="7">
        <v>36</v>
      </c>
      <c r="N47" s="7">
        <v>76</v>
      </c>
      <c r="O47" s="7">
        <v>152</v>
      </c>
      <c r="P47" s="7">
        <v>92</v>
      </c>
      <c r="Q47" s="7">
        <v>36</v>
      </c>
      <c r="R47" s="7">
        <v>64</v>
      </c>
      <c r="S47" s="7">
        <v>16</v>
      </c>
      <c r="T47" s="7">
        <v>16</v>
      </c>
      <c r="U47" s="7">
        <v>20</v>
      </c>
      <c r="W47" s="21">
        <f>(E47/$E$47)*100</f>
        <v>100</v>
      </c>
      <c r="X47" s="11">
        <f>((F47/$E$47)*100)-AD47</f>
        <v>31.870731707317074</v>
      </c>
      <c r="Y47" s="11">
        <f>(G47/$E$47)*100</f>
        <v>12.195121951219512</v>
      </c>
      <c r="Z47" s="71">
        <f>(H47/E47)*100</f>
        <v>18.536585365853657</v>
      </c>
      <c r="AA47" s="72"/>
      <c r="AB47" s="20">
        <f>(J47/E47)*100</f>
        <v>36.097560975609753</v>
      </c>
      <c r="AC47" s="11">
        <f t="shared" ref="AC47:AM47" si="8">(K47/$E$47)*100</f>
        <v>5.1219512195121952</v>
      </c>
      <c r="AD47" s="11">
        <v>1.3</v>
      </c>
      <c r="AE47" s="11">
        <f t="shared" si="8"/>
        <v>2.1951219512195119</v>
      </c>
      <c r="AF47" s="11">
        <f t="shared" si="8"/>
        <v>4.6341463414634143</v>
      </c>
      <c r="AG47" s="11">
        <f t="shared" si="8"/>
        <v>9.2682926829268286</v>
      </c>
      <c r="AH47" s="11">
        <f t="shared" si="8"/>
        <v>5.6097560975609762</v>
      </c>
      <c r="AI47" s="11">
        <f t="shared" si="8"/>
        <v>2.1951219512195119</v>
      </c>
      <c r="AJ47" s="11">
        <f t="shared" si="8"/>
        <v>3.9024390243902438</v>
      </c>
      <c r="AK47" s="11">
        <f t="shared" si="8"/>
        <v>0.97560975609756095</v>
      </c>
      <c r="AL47" s="11">
        <f t="shared" si="8"/>
        <v>0.97560975609756095</v>
      </c>
      <c r="AM47" s="11">
        <f t="shared" si="8"/>
        <v>1.2195121951219512</v>
      </c>
      <c r="AO47" s="11">
        <f t="shared" ref="AO47:AO49" si="9">(E47/D47)*100</f>
        <v>79.611650485436897</v>
      </c>
      <c r="AP47" s="11">
        <f t="shared" ref="AP47:AP49" si="10">SUM(X47:AB47)</f>
        <v>98.699999999999989</v>
      </c>
      <c r="AQ47" s="11">
        <f t="shared" ref="AQ47:AQ49" si="11">SUM(AC47:AM47)</f>
        <v>37.39756097560975</v>
      </c>
      <c r="AX47" s="23">
        <f t="shared" ref="AX47:AX49" si="12">AD47+AE47</f>
        <v>3.4951219512195122</v>
      </c>
      <c r="AY47" s="23">
        <f t="shared" ref="AY47:AY49" si="13">AK47+AL47</f>
        <v>1.9512195121951219</v>
      </c>
      <c r="AZ47" s="23">
        <f t="shared" ref="AZ47:AZ49" si="14">Z47+AA47+AC47+AF47</f>
        <v>28.292682926829265</v>
      </c>
    </row>
    <row r="48" spans="1:52" x14ac:dyDescent="0.25">
      <c r="A48" s="4">
        <v>1943</v>
      </c>
      <c r="AQ48" s="11"/>
    </row>
    <row r="49" spans="1:52" x14ac:dyDescent="0.25">
      <c r="A49" s="4">
        <v>1944</v>
      </c>
      <c r="B49" s="14" t="s">
        <v>45</v>
      </c>
      <c r="C49" s="15">
        <v>1700</v>
      </c>
      <c r="D49" s="7">
        <v>3115</v>
      </c>
      <c r="E49" s="7">
        <v>2406</v>
      </c>
      <c r="F49" s="7">
        <v>863</v>
      </c>
      <c r="G49" s="7">
        <v>385</v>
      </c>
      <c r="H49" s="64">
        <v>421</v>
      </c>
      <c r="I49" s="70"/>
      <c r="J49" s="18">
        <f>E49-(F49+G49+H49+I49)</f>
        <v>737</v>
      </c>
      <c r="K49" s="7">
        <v>109</v>
      </c>
      <c r="M49" s="7">
        <v>47</v>
      </c>
      <c r="N49" s="7">
        <v>79</v>
      </c>
      <c r="O49" s="7">
        <v>152</v>
      </c>
      <c r="P49" s="7">
        <v>133</v>
      </c>
      <c r="Q49" s="7">
        <v>58</v>
      </c>
      <c r="R49" s="7">
        <v>67</v>
      </c>
      <c r="S49" s="7">
        <v>26</v>
      </c>
      <c r="T49" s="7">
        <v>15</v>
      </c>
      <c r="U49" s="7">
        <v>31</v>
      </c>
      <c r="W49" s="21">
        <f>(E49/$E$49)*100</f>
        <v>100</v>
      </c>
      <c r="X49" s="11">
        <f>((F49/$E$49)*100)-AD49</f>
        <v>34.568661679135495</v>
      </c>
      <c r="Y49" s="11">
        <f>(G49/$E$49)*100</f>
        <v>16.001662510390691</v>
      </c>
      <c r="Z49" s="71">
        <f>(H49/E49)*100</f>
        <v>17.497921862011637</v>
      </c>
      <c r="AA49" s="72"/>
      <c r="AB49" s="20">
        <f>(J49/E49)*100</f>
        <v>30.631753948462176</v>
      </c>
      <c r="AC49" s="11">
        <f t="shared" ref="AC49:AM49" si="15">(K49/$E$49)*100</f>
        <v>4.5303408146300912</v>
      </c>
      <c r="AD49" s="11">
        <v>1.3</v>
      </c>
      <c r="AE49" s="11">
        <f t="shared" si="15"/>
        <v>1.9534497090606815</v>
      </c>
      <c r="AF49" s="11">
        <f t="shared" si="15"/>
        <v>3.2834580216126348</v>
      </c>
      <c r="AG49" s="11">
        <f t="shared" si="15"/>
        <v>6.3175394846217783</v>
      </c>
      <c r="AH49" s="11">
        <f t="shared" si="15"/>
        <v>5.5278470490440563</v>
      </c>
      <c r="AI49" s="11">
        <f t="shared" si="15"/>
        <v>2.4106400665004157</v>
      </c>
      <c r="AJ49" s="11">
        <f t="shared" si="15"/>
        <v>2.7847049044056527</v>
      </c>
      <c r="AK49" s="11">
        <f t="shared" si="15"/>
        <v>1.0806317539484622</v>
      </c>
      <c r="AL49" s="11">
        <f t="shared" si="15"/>
        <v>0.62344139650872821</v>
      </c>
      <c r="AM49" s="11">
        <f t="shared" si="15"/>
        <v>1.288445552784705</v>
      </c>
      <c r="AO49" s="11">
        <f t="shared" si="9"/>
        <v>77.239165329052966</v>
      </c>
      <c r="AP49" s="11">
        <f t="shared" si="10"/>
        <v>98.7</v>
      </c>
      <c r="AQ49" s="11">
        <f t="shared" si="11"/>
        <v>31.100498753117208</v>
      </c>
      <c r="AX49" s="23">
        <f t="shared" si="12"/>
        <v>3.2534497090606815</v>
      </c>
      <c r="AY49" s="23">
        <f t="shared" si="13"/>
        <v>1.7040731504571904</v>
      </c>
      <c r="AZ49" s="23">
        <f t="shared" si="14"/>
        <v>25.311720698254362</v>
      </c>
    </row>
    <row r="50" spans="1:52" x14ac:dyDescent="0.25">
      <c r="A50" s="4">
        <v>1945</v>
      </c>
      <c r="AQ50" s="11"/>
    </row>
    <row r="51" spans="1:52" x14ac:dyDescent="0.25">
      <c r="A51" s="4">
        <v>1946</v>
      </c>
      <c r="AQ51" s="11"/>
    </row>
    <row r="52" spans="1:52" x14ac:dyDescent="0.25">
      <c r="A52" s="4">
        <v>1947</v>
      </c>
      <c r="AQ52" s="11"/>
    </row>
    <row r="53" spans="1:52" x14ac:dyDescent="0.25">
      <c r="A53" s="4">
        <v>1948</v>
      </c>
      <c r="AQ53" s="11"/>
    </row>
    <row r="54" spans="1:52" x14ac:dyDescent="0.25">
      <c r="A54" s="4">
        <v>1949</v>
      </c>
      <c r="AQ54" s="11"/>
    </row>
    <row r="55" spans="1:52" ht="42.75" x14ac:dyDescent="0.25">
      <c r="A55" s="4">
        <v>1950</v>
      </c>
      <c r="B55" s="14" t="s">
        <v>28</v>
      </c>
      <c r="C55" s="15">
        <v>7007</v>
      </c>
      <c r="D55" s="7">
        <v>3923</v>
      </c>
      <c r="E55" s="7">
        <v>3925</v>
      </c>
      <c r="F55" s="7">
        <v>1205</v>
      </c>
      <c r="G55" s="7">
        <v>453</v>
      </c>
      <c r="H55" s="7">
        <v>415</v>
      </c>
      <c r="I55" s="7">
        <v>163</v>
      </c>
      <c r="J55" s="18">
        <f>E55-(F55+G55+H55+I55)</f>
        <v>1689</v>
      </c>
      <c r="K55" s="7">
        <v>155</v>
      </c>
      <c r="L55" s="7">
        <v>70</v>
      </c>
      <c r="M55" s="7">
        <v>79</v>
      </c>
      <c r="N55" s="7">
        <v>278</v>
      </c>
      <c r="O55" s="7">
        <f>472+69</f>
        <v>541</v>
      </c>
      <c r="P55" s="7">
        <v>200</v>
      </c>
      <c r="Q55" s="7">
        <v>91</v>
      </c>
      <c r="R55" s="7">
        <v>177</v>
      </c>
      <c r="S55" s="7">
        <v>34</v>
      </c>
      <c r="T55" s="7">
        <v>17</v>
      </c>
      <c r="U55" s="7">
        <v>47</v>
      </c>
      <c r="W55" s="21">
        <f>(E55/E55)*100</f>
        <v>100</v>
      </c>
      <c r="X55" s="11">
        <f t="shared" ref="X55:AM55" si="16">(F55/$E$55)*100</f>
        <v>30.700636942675157</v>
      </c>
      <c r="Y55" s="11">
        <f t="shared" si="16"/>
        <v>11.54140127388535</v>
      </c>
      <c r="Z55" s="11">
        <f t="shared" si="16"/>
        <v>10.573248407643312</v>
      </c>
      <c r="AA55" s="11">
        <f t="shared" si="16"/>
        <v>4.1528662420382165</v>
      </c>
      <c r="AB55" s="20">
        <f t="shared" si="16"/>
        <v>43.031847133757964</v>
      </c>
      <c r="AC55" s="11">
        <f t="shared" si="16"/>
        <v>3.9490445859872612</v>
      </c>
      <c r="AD55" s="11">
        <f t="shared" si="16"/>
        <v>1.7834394904458599</v>
      </c>
      <c r="AE55" s="11">
        <f t="shared" si="16"/>
        <v>2.0127388535031847</v>
      </c>
      <c r="AF55" s="11">
        <f t="shared" si="16"/>
        <v>7.0828025477707</v>
      </c>
      <c r="AG55" s="11">
        <f t="shared" si="16"/>
        <v>13.783439490445859</v>
      </c>
      <c r="AH55" s="11">
        <f t="shared" si="16"/>
        <v>5.095541401273886</v>
      </c>
      <c r="AI55" s="11">
        <f t="shared" si="16"/>
        <v>2.3184713375796178</v>
      </c>
      <c r="AJ55" s="11">
        <f t="shared" si="16"/>
        <v>4.5095541401273884</v>
      </c>
      <c r="AK55" s="11">
        <f t="shared" si="16"/>
        <v>0.86624203821656054</v>
      </c>
      <c r="AL55" s="11">
        <f t="shared" si="16"/>
        <v>0.43312101910828027</v>
      </c>
      <c r="AM55" s="11">
        <f t="shared" si="16"/>
        <v>1.197452229299363</v>
      </c>
      <c r="AO55" s="11">
        <f>(E55/D55)*100</f>
        <v>100.05098139179201</v>
      </c>
      <c r="AP55" s="11">
        <f>SUM(X55:AB55)</f>
        <v>100</v>
      </c>
      <c r="AQ55" s="11">
        <f>SUM(AC55:AM55)</f>
        <v>43.031847133757957</v>
      </c>
      <c r="AX55" s="23">
        <f t="shared" si="2"/>
        <v>3.7961783439490446</v>
      </c>
      <c r="AY55" s="23">
        <f t="shared" si="4"/>
        <v>1.2993630573248409</v>
      </c>
      <c r="AZ55" s="23">
        <f>Z55+AA55+AC55+AF55</f>
        <v>25.757961783439491</v>
      </c>
    </row>
    <row r="56" spans="1:52" x14ac:dyDescent="0.25">
      <c r="A56" s="4">
        <v>1951</v>
      </c>
    </row>
    <row r="57" spans="1:52" x14ac:dyDescent="0.25">
      <c r="A57" s="4">
        <v>1952</v>
      </c>
    </row>
    <row r="58" spans="1:52" x14ac:dyDescent="0.25">
      <c r="A58" s="4">
        <v>1953</v>
      </c>
    </row>
    <row r="59" spans="1:52" x14ac:dyDescent="0.25">
      <c r="A59" s="4">
        <v>1954</v>
      </c>
    </row>
    <row r="60" spans="1:52" x14ac:dyDescent="0.25">
      <c r="A60" s="4">
        <v>1955</v>
      </c>
    </row>
    <row r="61" spans="1:52" x14ac:dyDescent="0.25">
      <c r="A61" s="4">
        <v>1956</v>
      </c>
    </row>
    <row r="62" spans="1:52" x14ac:dyDescent="0.25">
      <c r="A62" s="4">
        <v>1957</v>
      </c>
    </row>
    <row r="63" spans="1:52" x14ac:dyDescent="0.25">
      <c r="A63" s="4">
        <v>1958</v>
      </c>
    </row>
    <row r="64" spans="1:52" x14ac:dyDescent="0.25">
      <c r="A64" s="4">
        <v>1959</v>
      </c>
    </row>
    <row r="65" spans="1:52" ht="27.75" customHeight="1" x14ac:dyDescent="0.25">
      <c r="A65" s="4">
        <v>1960</v>
      </c>
      <c r="B65" s="14" t="s">
        <v>40</v>
      </c>
      <c r="C65" s="15">
        <v>13728</v>
      </c>
      <c r="D65" s="7">
        <v>5557</v>
      </c>
      <c r="E65" s="7">
        <v>5047</v>
      </c>
      <c r="F65" s="7">
        <v>1235</v>
      </c>
      <c r="G65" s="7">
        <v>518</v>
      </c>
      <c r="H65" s="7">
        <v>658</v>
      </c>
      <c r="I65" s="7">
        <v>249</v>
      </c>
      <c r="J65" s="18">
        <f>E65-(F65+G65+H65+I65)</f>
        <v>2387</v>
      </c>
      <c r="K65" s="7">
        <v>288</v>
      </c>
      <c r="L65" s="7">
        <v>78</v>
      </c>
      <c r="M65" s="7">
        <v>91</v>
      </c>
      <c r="N65" s="7">
        <v>266</v>
      </c>
      <c r="O65" s="7">
        <v>770</v>
      </c>
      <c r="P65" s="7">
        <v>340</v>
      </c>
      <c r="Q65" s="7">
        <v>145</v>
      </c>
      <c r="R65" s="7">
        <v>200</v>
      </c>
      <c r="S65" s="7">
        <v>45</v>
      </c>
      <c r="T65" s="7">
        <v>53</v>
      </c>
      <c r="U65" s="7">
        <v>111</v>
      </c>
      <c r="W65" s="21">
        <f>(E65/E65)*100</f>
        <v>100</v>
      </c>
      <c r="X65" s="11">
        <f t="shared" ref="X65:AM65" si="17">(F65/$E$65)*100</f>
        <v>24.469982167624334</v>
      </c>
      <c r="Y65" s="11">
        <f t="shared" si="17"/>
        <v>10.263522884882107</v>
      </c>
      <c r="Z65" s="11">
        <f t="shared" si="17"/>
        <v>13.037447988904299</v>
      </c>
      <c r="AA65" s="11">
        <f t="shared" si="17"/>
        <v>4.933623935010897</v>
      </c>
      <c r="AB65" s="20">
        <f t="shared" si="17"/>
        <v>47.295423023578365</v>
      </c>
      <c r="AC65" s="11">
        <f t="shared" si="17"/>
        <v>5.7063602139885079</v>
      </c>
      <c r="AD65" s="11">
        <f t="shared" si="17"/>
        <v>1.5454725579552209</v>
      </c>
      <c r="AE65" s="11">
        <f t="shared" si="17"/>
        <v>1.8030513176144243</v>
      </c>
      <c r="AF65" s="11">
        <f t="shared" si="17"/>
        <v>5.2704576976421631</v>
      </c>
      <c r="AG65" s="11">
        <f t="shared" si="17"/>
        <v>15.256588072122051</v>
      </c>
      <c r="AH65" s="11">
        <f t="shared" si="17"/>
        <v>6.7366752526253224</v>
      </c>
      <c r="AI65" s="11">
        <f t="shared" si="17"/>
        <v>2.8729938577372698</v>
      </c>
      <c r="AJ65" s="11">
        <f t="shared" si="17"/>
        <v>3.9627501486031309</v>
      </c>
      <c r="AK65" s="11">
        <f t="shared" si="17"/>
        <v>0.89161878343570444</v>
      </c>
      <c r="AL65" s="11">
        <f t="shared" si="17"/>
        <v>1.0501287893798295</v>
      </c>
      <c r="AM65" s="11">
        <f t="shared" si="17"/>
        <v>2.1993263324747372</v>
      </c>
      <c r="AO65" s="11">
        <f>(E65/D65)*100</f>
        <v>90.822386179593309</v>
      </c>
      <c r="AP65" s="11">
        <f>SUM(X65:AB65)</f>
        <v>100</v>
      </c>
      <c r="AQ65" s="11">
        <f>SUM(AC65:AM65)</f>
        <v>47.295423023578358</v>
      </c>
      <c r="AX65" s="23">
        <f t="shared" si="2"/>
        <v>3.3485238755696454</v>
      </c>
      <c r="AY65" s="23">
        <f t="shared" si="4"/>
        <v>1.941747572815534</v>
      </c>
      <c r="AZ65" s="23">
        <f>Z65+AA65+AC65+AF65</f>
        <v>28.947889835545865</v>
      </c>
    </row>
    <row r="66" spans="1:52" x14ac:dyDescent="0.25">
      <c r="A66" s="4">
        <v>1961</v>
      </c>
    </row>
    <row r="67" spans="1:52" x14ac:dyDescent="0.25">
      <c r="A67" s="4">
        <v>1962</v>
      </c>
    </row>
    <row r="68" spans="1:52" x14ac:dyDescent="0.25">
      <c r="A68" s="4">
        <v>1963</v>
      </c>
    </row>
    <row r="69" spans="1:52" x14ac:dyDescent="0.25">
      <c r="A69" s="4">
        <v>1964</v>
      </c>
    </row>
    <row r="70" spans="1:52" x14ac:dyDescent="0.25">
      <c r="A70" s="4">
        <v>1965</v>
      </c>
    </row>
    <row r="71" spans="1:52" x14ac:dyDescent="0.25">
      <c r="A71" s="4">
        <v>1966</v>
      </c>
    </row>
    <row r="72" spans="1:52" x14ac:dyDescent="0.25">
      <c r="A72" s="4">
        <v>1967</v>
      </c>
    </row>
    <row r="73" spans="1:52" x14ac:dyDescent="0.25">
      <c r="A73" s="4">
        <v>1968</v>
      </c>
    </row>
    <row r="74" spans="1:52" x14ac:dyDescent="0.25">
      <c r="A74" s="4">
        <v>1969</v>
      </c>
    </row>
    <row r="75" spans="1:52" x14ac:dyDescent="0.25">
      <c r="A75" s="4">
        <v>1970</v>
      </c>
    </row>
    <row r="76" spans="1:52" x14ac:dyDescent="0.25">
      <c r="A76" s="4">
        <v>1971</v>
      </c>
      <c r="AQ76" s="11"/>
    </row>
    <row r="77" spans="1:52" ht="16.5" customHeight="1" x14ac:dyDescent="0.25">
      <c r="A77" s="4">
        <v>1972</v>
      </c>
      <c r="B77" s="14" t="s">
        <v>31</v>
      </c>
      <c r="C77" s="15">
        <v>40000</v>
      </c>
      <c r="D77" s="7">
        <v>12388</v>
      </c>
      <c r="E77" s="7">
        <v>9421</v>
      </c>
      <c r="F77" s="7">
        <v>1675</v>
      </c>
      <c r="G77" s="7">
        <v>732</v>
      </c>
      <c r="H77" s="7">
        <v>1507</v>
      </c>
      <c r="I77" s="7">
        <f>581-178.02</f>
        <v>402.98</v>
      </c>
      <c r="J77" s="18">
        <f>E77-(F77+G77+H77+I77)</f>
        <v>5104.0200000000004</v>
      </c>
      <c r="K77" s="7">
        <f>138+178.02</f>
        <v>316.02</v>
      </c>
      <c r="L77" s="7">
        <v>89</v>
      </c>
      <c r="M77" s="7">
        <v>131</v>
      </c>
      <c r="N77" s="7">
        <v>411</v>
      </c>
      <c r="O77" s="7">
        <v>1762</v>
      </c>
      <c r="P77" s="7">
        <v>432</v>
      </c>
      <c r="Q77" s="7">
        <v>106</v>
      </c>
      <c r="R77" s="7">
        <v>389</v>
      </c>
      <c r="S77" s="7">
        <v>50</v>
      </c>
      <c r="T77" s="7">
        <v>126</v>
      </c>
      <c r="U77" s="7">
        <v>102</v>
      </c>
      <c r="W77" s="21">
        <f t="shared" ref="W77:AM77" si="18">(E77/$E$77)*100</f>
        <v>100</v>
      </c>
      <c r="X77" s="11">
        <f t="shared" si="18"/>
        <v>17.779428935357181</v>
      </c>
      <c r="Y77" s="11">
        <f t="shared" si="18"/>
        <v>7.7698758093620635</v>
      </c>
      <c r="Z77" s="11">
        <f t="shared" si="18"/>
        <v>15.996178749601953</v>
      </c>
      <c r="AA77" s="11">
        <f t="shared" si="18"/>
        <v>4.2774652372359627</v>
      </c>
      <c r="AB77" s="20">
        <f t="shared" si="18"/>
        <v>54.177051268442845</v>
      </c>
      <c r="AC77" s="11">
        <f t="shared" si="18"/>
        <v>3.3544209744188516</v>
      </c>
      <c r="AD77" s="11">
        <f t="shared" si="18"/>
        <v>0.94469801507271001</v>
      </c>
      <c r="AE77" s="11">
        <f t="shared" si="18"/>
        <v>1.3905105615115168</v>
      </c>
      <c r="AF77" s="11">
        <f t="shared" si="18"/>
        <v>4.3625942044368964</v>
      </c>
      <c r="AG77" s="11">
        <f t="shared" si="18"/>
        <v>18.702897781551854</v>
      </c>
      <c r="AH77" s="11">
        <f t="shared" si="18"/>
        <v>4.5855004776563</v>
      </c>
      <c r="AI77" s="11">
        <f t="shared" si="18"/>
        <v>1.1251459505360364</v>
      </c>
      <c r="AJ77" s="11">
        <f t="shared" si="18"/>
        <v>4.1290733467784735</v>
      </c>
      <c r="AK77" s="11">
        <f t="shared" si="18"/>
        <v>0.53072922195096062</v>
      </c>
      <c r="AL77" s="11">
        <f t="shared" si="18"/>
        <v>1.3374376393164209</v>
      </c>
      <c r="AM77" s="11">
        <f t="shared" si="18"/>
        <v>1.0826876127799596</v>
      </c>
      <c r="AO77" s="11">
        <f>(E77/D77)*100</f>
        <v>76.04940264772361</v>
      </c>
      <c r="AP77" s="11">
        <f>SUM(X77:AB77)</f>
        <v>100</v>
      </c>
      <c r="AQ77" s="11">
        <f>SUM(AC77:AM77)</f>
        <v>41.545695786009986</v>
      </c>
      <c r="AX77" s="23">
        <f t="shared" ref="AX77" si="19">AD77+AE77</f>
        <v>2.3352085765842268</v>
      </c>
      <c r="AY77" s="23">
        <f t="shared" ref="AY77" si="20">AK77+AL77</f>
        <v>1.8681668612673814</v>
      </c>
      <c r="AZ77" s="23">
        <f>Z77+AA77+AC77+AF77</f>
        <v>27.990659165693661</v>
      </c>
    </row>
    <row r="78" spans="1:52" x14ac:dyDescent="0.25">
      <c r="A78" s="4">
        <v>1973</v>
      </c>
    </row>
    <row r="79" spans="1:52" x14ac:dyDescent="0.25">
      <c r="A79" s="4">
        <v>1974</v>
      </c>
      <c r="AQ79" s="11"/>
    </row>
    <row r="80" spans="1:52" x14ac:dyDescent="0.25">
      <c r="A80" s="4">
        <v>1975</v>
      </c>
      <c r="AQ80" s="11"/>
    </row>
    <row r="81" spans="1:53" x14ac:dyDescent="0.25">
      <c r="A81" s="4">
        <v>1976</v>
      </c>
    </row>
    <row r="82" spans="1:53" x14ac:dyDescent="0.25">
      <c r="A82" s="4">
        <v>1977</v>
      </c>
      <c r="AQ82" s="11"/>
    </row>
    <row r="83" spans="1:53" x14ac:dyDescent="0.25">
      <c r="A83" s="4">
        <v>1978</v>
      </c>
      <c r="AQ83" s="11"/>
    </row>
    <row r="84" spans="1:53" x14ac:dyDescent="0.25">
      <c r="A84" s="4">
        <v>1979</v>
      </c>
      <c r="AQ84" s="11"/>
    </row>
    <row r="85" spans="1:53" ht="15" customHeight="1" x14ac:dyDescent="0.25">
      <c r="A85" s="4">
        <v>1980</v>
      </c>
      <c r="D85" s="7">
        <v>19127</v>
      </c>
      <c r="E85" s="7">
        <v>16723</v>
      </c>
      <c r="F85" s="7">
        <v>3185</v>
      </c>
      <c r="G85" s="7">
        <v>895</v>
      </c>
      <c r="H85" s="7">
        <v>2726</v>
      </c>
      <c r="I85" s="7">
        <f>1184-343</f>
        <v>841</v>
      </c>
      <c r="J85" s="18">
        <f>E85-(F85+G85+H85+I85)</f>
        <v>9076</v>
      </c>
      <c r="K85" s="7">
        <f>274+343</f>
        <v>617</v>
      </c>
      <c r="L85" s="7">
        <v>278</v>
      </c>
      <c r="M85" s="7">
        <v>175</v>
      </c>
      <c r="N85" s="7">
        <v>715</v>
      </c>
      <c r="O85" s="7">
        <v>3416</v>
      </c>
      <c r="P85" s="7">
        <v>730</v>
      </c>
      <c r="Q85" s="7">
        <v>153</v>
      </c>
      <c r="R85" s="7">
        <v>724</v>
      </c>
      <c r="S85" s="7">
        <v>114</v>
      </c>
      <c r="T85" s="7">
        <v>209</v>
      </c>
      <c r="U85" s="7">
        <v>259</v>
      </c>
      <c r="W85" s="21">
        <f>(E85/E85)*100</f>
        <v>100</v>
      </c>
      <c r="X85" s="11">
        <f t="shared" ref="X85:AM85" si="21">(F85/$E$85)*100</f>
        <v>19.045625784847218</v>
      </c>
      <c r="Y85" s="11">
        <f t="shared" si="21"/>
        <v>5.3519105423668005</v>
      </c>
      <c r="Z85" s="11">
        <f t="shared" si="21"/>
        <v>16.300902948035638</v>
      </c>
      <c r="AA85" s="11">
        <f t="shared" si="21"/>
        <v>5.0290019733301436</v>
      </c>
      <c r="AB85" s="20">
        <f t="shared" si="21"/>
        <v>54.272558751420199</v>
      </c>
      <c r="AC85" s="11">
        <f t="shared" si="21"/>
        <v>3.6895293906595703</v>
      </c>
      <c r="AD85" s="11">
        <f t="shared" si="21"/>
        <v>1.6623811517072298</v>
      </c>
      <c r="AE85" s="11">
        <f t="shared" si="21"/>
        <v>1.0464629552113855</v>
      </c>
      <c r="AF85" s="11">
        <f t="shared" si="21"/>
        <v>4.2755486455779463</v>
      </c>
      <c r="AG85" s="11">
        <f t="shared" si="21"/>
        <v>20.426956885726245</v>
      </c>
      <c r="AH85" s="11">
        <f t="shared" si="21"/>
        <v>4.3652454703103514</v>
      </c>
      <c r="AI85" s="11">
        <f t="shared" si="21"/>
        <v>0.91490761227052564</v>
      </c>
      <c r="AJ85" s="11">
        <f t="shared" si="21"/>
        <v>4.329366740417389</v>
      </c>
      <c r="AK85" s="11">
        <f t="shared" si="21"/>
        <v>0.68169586796627402</v>
      </c>
      <c r="AL85" s="11">
        <f t="shared" si="21"/>
        <v>1.249775757938169</v>
      </c>
      <c r="AM85" s="11">
        <f t="shared" si="21"/>
        <v>1.5487651737128505</v>
      </c>
      <c r="AO85" s="11">
        <f>(E85/D85)*100</f>
        <v>87.431379724996077</v>
      </c>
      <c r="AP85" s="11">
        <f>SUM(X85:AB85)</f>
        <v>100</v>
      </c>
      <c r="AQ85" s="11">
        <f>SUM(AC85:AM85)</f>
        <v>44.190635651497942</v>
      </c>
      <c r="AX85" s="23">
        <f t="shared" ref="AX85" si="22">AD85+AE85</f>
        <v>2.7088441069186153</v>
      </c>
      <c r="AY85" s="23">
        <f t="shared" ref="AY85" si="23">AK85+AL85</f>
        <v>1.9314716259044431</v>
      </c>
      <c r="AZ85" s="23">
        <f>Z85+AA85+AC85+AF85</f>
        <v>29.294982957603295</v>
      </c>
      <c r="BA85" s="1" t="s">
        <v>144</v>
      </c>
    </row>
    <row r="86" spans="1:53" x14ac:dyDescent="0.25">
      <c r="A86" s="4">
        <v>1981</v>
      </c>
      <c r="D86" s="7">
        <v>20842</v>
      </c>
      <c r="E86" s="7">
        <v>17558</v>
      </c>
      <c r="F86" s="7">
        <v>3263</v>
      </c>
      <c r="G86" s="7">
        <v>974</v>
      </c>
      <c r="H86" s="7">
        <v>2904</v>
      </c>
      <c r="I86" s="7">
        <f>1340-343</f>
        <v>997</v>
      </c>
      <c r="J86" s="18">
        <f>E86-(F86+G86+H86+I86)</f>
        <v>9420</v>
      </c>
      <c r="K86" s="7">
        <f>248+343</f>
        <v>591</v>
      </c>
      <c r="L86" s="7">
        <v>282</v>
      </c>
      <c r="M86" s="7">
        <v>176</v>
      </c>
      <c r="N86" s="7">
        <v>707</v>
      </c>
      <c r="O86" s="7">
        <v>3490</v>
      </c>
      <c r="P86" s="7">
        <v>762</v>
      </c>
      <c r="Q86" s="7">
        <v>162</v>
      </c>
      <c r="R86" s="7">
        <v>799</v>
      </c>
      <c r="S86" s="7">
        <v>120</v>
      </c>
      <c r="T86" s="7">
        <v>228</v>
      </c>
      <c r="U86" s="7">
        <v>260</v>
      </c>
      <c r="W86" s="21">
        <f>(E86/$E$86)*100</f>
        <v>100</v>
      </c>
      <c r="X86" s="11">
        <f t="shared" ref="X86:AM86" si="24">(F86/$E$86)*100</f>
        <v>18.584121198314158</v>
      </c>
      <c r="Y86" s="11">
        <f t="shared" si="24"/>
        <v>5.5473288529445268</v>
      </c>
      <c r="Z86" s="11">
        <f t="shared" si="24"/>
        <v>16.539469187834605</v>
      </c>
      <c r="AA86" s="11">
        <f t="shared" si="24"/>
        <v>5.678323271443217</v>
      </c>
      <c r="AB86" s="11">
        <f t="shared" si="24"/>
        <v>53.650757489463494</v>
      </c>
      <c r="AC86" s="11">
        <f t="shared" si="24"/>
        <v>3.3659870144663402</v>
      </c>
      <c r="AD86" s="11">
        <f t="shared" si="24"/>
        <v>1.6061054789839391</v>
      </c>
      <c r="AE86" s="11">
        <f t="shared" si="24"/>
        <v>1.0023920719899759</v>
      </c>
      <c r="AF86" s="11">
        <f t="shared" si="24"/>
        <v>4.0266545164597334</v>
      </c>
      <c r="AG86" s="11">
        <f t="shared" si="24"/>
        <v>19.87697915480123</v>
      </c>
      <c r="AH86" s="11">
        <f t="shared" si="24"/>
        <v>4.339902038956601</v>
      </c>
      <c r="AI86" s="11">
        <f t="shared" si="24"/>
        <v>0.92265633899077348</v>
      </c>
      <c r="AJ86" s="11">
        <f t="shared" si="24"/>
        <v>4.5506321904544933</v>
      </c>
      <c r="AK86" s="11">
        <f t="shared" si="24"/>
        <v>0.68344913999316548</v>
      </c>
      <c r="AL86" s="11">
        <f t="shared" si="24"/>
        <v>1.2985533659870145</v>
      </c>
      <c r="AM86" s="11">
        <f t="shared" si="24"/>
        <v>1.4808064699851919</v>
      </c>
      <c r="AO86" s="11">
        <f>(E86/D86)*100</f>
        <v>84.243354764418001</v>
      </c>
      <c r="AP86" s="11">
        <f>SUM(X86:AB86)</f>
        <v>100</v>
      </c>
      <c r="AQ86" s="11">
        <f>SUM(AC86:AM86)</f>
        <v>43.154117781068457</v>
      </c>
      <c r="AX86" s="23">
        <f t="shared" ref="AX86" si="25">AD86+AE86</f>
        <v>2.6084975509739152</v>
      </c>
      <c r="AY86" s="23">
        <f t="shared" ref="AY86" si="26">AK86+AL86</f>
        <v>1.98200250598018</v>
      </c>
      <c r="AZ86" s="23">
        <f>Z86+AA86+AC86+AF86</f>
        <v>29.610433990203898</v>
      </c>
      <c r="BA86" s="1" t="s">
        <v>144</v>
      </c>
    </row>
    <row r="87" spans="1:53" x14ac:dyDescent="0.25">
      <c r="A87" s="4">
        <v>1982</v>
      </c>
      <c r="B87" s="14" t="s">
        <v>139</v>
      </c>
      <c r="D87" s="7">
        <v>23027</v>
      </c>
      <c r="E87" s="7">
        <v>19128</v>
      </c>
      <c r="F87" s="7">
        <v>3175</v>
      </c>
      <c r="G87" s="7">
        <v>1039</v>
      </c>
      <c r="H87" s="7">
        <v>3309</v>
      </c>
      <c r="I87" s="7">
        <f>1512-395</f>
        <v>1117</v>
      </c>
      <c r="J87" s="18">
        <f t="shared" ref="J87:J128" si="27">E87-(F87+G87+H87+AV87)</f>
        <v>11605</v>
      </c>
      <c r="K87" s="7">
        <f>275+395</f>
        <v>670</v>
      </c>
      <c r="L87" s="7">
        <v>286</v>
      </c>
      <c r="M87" s="7">
        <v>208</v>
      </c>
      <c r="N87" s="7">
        <v>773</v>
      </c>
      <c r="O87" s="7">
        <v>3766</v>
      </c>
      <c r="P87" s="7">
        <v>834</v>
      </c>
      <c r="Q87" s="7">
        <v>178</v>
      </c>
      <c r="R87" s="7">
        <v>879</v>
      </c>
      <c r="S87" s="7">
        <v>128</v>
      </c>
      <c r="T87" s="7">
        <v>257</v>
      </c>
      <c r="U87" s="7">
        <v>274</v>
      </c>
      <c r="W87" s="21">
        <f>(E87/$E$87)*100</f>
        <v>100</v>
      </c>
      <c r="X87" s="11">
        <f t="shared" ref="X87:AM87" si="28">(F87/$E$87)*100</f>
        <v>16.598703471350898</v>
      </c>
      <c r="Y87" s="11">
        <f t="shared" si="28"/>
        <v>5.431827687160184</v>
      </c>
      <c r="Z87" s="11">
        <f t="shared" si="28"/>
        <v>17.299247176913426</v>
      </c>
      <c r="AA87" s="11">
        <f t="shared" si="28"/>
        <v>5.8396068590547889</v>
      </c>
      <c r="AB87" s="20">
        <f t="shared" si="28"/>
        <v>60.670221664575493</v>
      </c>
      <c r="AC87" s="11">
        <f t="shared" si="28"/>
        <v>3.5027185278126307</v>
      </c>
      <c r="AD87" s="11">
        <f t="shared" si="28"/>
        <v>1.4951902969468842</v>
      </c>
      <c r="AE87" s="11">
        <f t="shared" si="28"/>
        <v>1.0874111250522793</v>
      </c>
      <c r="AF87" s="11">
        <f t="shared" si="28"/>
        <v>4.0411961522375579</v>
      </c>
      <c r="AG87" s="11">
        <f t="shared" si="28"/>
        <v>19.688414889167714</v>
      </c>
      <c r="AH87" s="11">
        <f t="shared" si="28"/>
        <v>4.3601003764115429</v>
      </c>
      <c r="AI87" s="11">
        <f t="shared" si="28"/>
        <v>0.93057298201589289</v>
      </c>
      <c r="AJ87" s="11">
        <f t="shared" si="28"/>
        <v>4.5953575909661231</v>
      </c>
      <c r="AK87" s="11">
        <f t="shared" si="28"/>
        <v>0.66917607695524883</v>
      </c>
      <c r="AL87" s="11">
        <f t="shared" si="28"/>
        <v>1.3435800920117105</v>
      </c>
      <c r="AM87" s="11">
        <f t="shared" si="28"/>
        <v>1.4324550397323297</v>
      </c>
      <c r="AO87" s="11">
        <f>(E87/D87)*100</f>
        <v>83.067703131106967</v>
      </c>
      <c r="AP87" s="11">
        <f>SUM(X87:AB87)</f>
        <v>105.83960685905478</v>
      </c>
      <c r="AQ87" s="11">
        <f>SUM(AC87:AM87)</f>
        <v>43.146173149309917</v>
      </c>
      <c r="AX87" s="23">
        <f t="shared" ref="AX87" si="29">AD87+AE87</f>
        <v>2.5826014219991635</v>
      </c>
      <c r="AY87" s="23">
        <f t="shared" ref="AY87" si="30">AK87+AL87</f>
        <v>2.0127561689669591</v>
      </c>
      <c r="AZ87" s="23">
        <f>Z87+AA87+AC87+AF87</f>
        <v>30.682768716018405</v>
      </c>
      <c r="BA87" s="1" t="s">
        <v>144</v>
      </c>
    </row>
    <row r="88" spans="1:53" x14ac:dyDescent="0.25">
      <c r="A88" s="4">
        <v>1983</v>
      </c>
      <c r="AQ88" s="11"/>
    </row>
    <row r="89" spans="1:53" x14ac:dyDescent="0.25">
      <c r="A89" s="4">
        <v>1984</v>
      </c>
      <c r="C89" s="15">
        <v>5000</v>
      </c>
      <c r="D89" s="7">
        <v>21237</v>
      </c>
      <c r="E89" s="7">
        <v>21975</v>
      </c>
      <c r="F89" s="7">
        <v>3290</v>
      </c>
      <c r="G89" s="7">
        <v>1319</v>
      </c>
      <c r="H89" s="7">
        <v>3489</v>
      </c>
      <c r="I89" s="7">
        <f>AV89-AU89</f>
        <v>1203</v>
      </c>
      <c r="J89" s="18">
        <f t="shared" si="27"/>
        <v>12239</v>
      </c>
      <c r="K89" s="7">
        <f>AS89+AT89+AU89</f>
        <v>1140</v>
      </c>
      <c r="L89" s="7">
        <v>275</v>
      </c>
      <c r="M89" s="7">
        <v>228</v>
      </c>
      <c r="N89" s="7">
        <v>926</v>
      </c>
      <c r="O89" s="7">
        <v>4304</v>
      </c>
      <c r="P89" s="7">
        <v>1049</v>
      </c>
      <c r="Q89" s="7">
        <v>289</v>
      </c>
      <c r="R89" s="7">
        <v>1055</v>
      </c>
      <c r="S89" s="7">
        <v>132</v>
      </c>
      <c r="T89" s="7">
        <v>303</v>
      </c>
      <c r="U89" s="7">
        <v>451</v>
      </c>
      <c r="W89" s="21">
        <f t="shared" ref="W89:W128" si="31">(E89/E89)*100</f>
        <v>100</v>
      </c>
      <c r="X89" s="11">
        <f t="shared" ref="X89:X128" si="32">(F89/E89)*100</f>
        <v>14.97155858930603</v>
      </c>
      <c r="Y89" s="11">
        <f t="shared" ref="Y89:Y128" si="33">(G89/E89)*100</f>
        <v>6.0022753128555175</v>
      </c>
      <c r="Z89" s="11">
        <f t="shared" ref="Z89:Z128" si="34">(H89/E89)*100</f>
        <v>15.877133105802047</v>
      </c>
      <c r="AA89" s="11">
        <f>(I89/E89)*100</f>
        <v>5.4744027303754264</v>
      </c>
      <c r="AB89" s="20">
        <f t="shared" ref="AB89:AB128" si="35">(J89/E89)*100</f>
        <v>55.695108077360636</v>
      </c>
      <c r="AC89" s="11">
        <f t="shared" ref="AC89:AC128" si="36">(K89/E89)*100</f>
        <v>5.1877133105802047</v>
      </c>
      <c r="AD89" s="11">
        <f t="shared" ref="AD89:AD128" si="37">(L89/E89)*100</f>
        <v>1.2514220705346986</v>
      </c>
      <c r="AE89" s="11">
        <f t="shared" ref="AE89:AE128" si="38">(M89/E89)*100</f>
        <v>1.0375426621160411</v>
      </c>
      <c r="AF89" s="11">
        <f t="shared" ref="AF89:AF128" si="39">(N89/E89)*100</f>
        <v>4.2138794084186575</v>
      </c>
      <c r="AG89" s="11">
        <f t="shared" ref="AG89:AG128" si="40">(O89/E89)*100</f>
        <v>19.585893060295792</v>
      </c>
      <c r="AH89" s="11">
        <f t="shared" ref="AH89:AH128" si="41">(P89/E89)*100</f>
        <v>4.7736063708759957</v>
      </c>
      <c r="AI89" s="11">
        <f t="shared" ref="AI89:AI128" si="42">(Q89/E89)*100</f>
        <v>1.3151308304891922</v>
      </c>
      <c r="AJ89" s="11">
        <f t="shared" ref="AJ89:AJ128" si="43">(R89/E89)*100</f>
        <v>4.8009101251422068</v>
      </c>
      <c r="AK89" s="11">
        <f t="shared" ref="AK89:AK128" si="44">(S89/E89)*100</f>
        <v>0.60068259385665534</v>
      </c>
      <c r="AL89" s="11">
        <f t="shared" ref="AL89:AL128" si="45">(T89/E89)*100</f>
        <v>1.3788395904436861</v>
      </c>
      <c r="AM89" s="11">
        <f t="shared" ref="AM89:AM128" si="46">(U89/E89)*100</f>
        <v>2.0523321956769056</v>
      </c>
      <c r="AO89" s="11">
        <f t="shared" ref="AO89:AO127" si="47">(E89/D89)*100</f>
        <v>103.47506709987286</v>
      </c>
      <c r="AP89" s="11">
        <f t="shared" ref="AP89:AP127" si="48">SUM(X89:AB89)</f>
        <v>98.02047781569965</v>
      </c>
      <c r="AQ89" s="11">
        <f t="shared" ref="AQ89:AQ127" si="49">SUM(AC89:AM89)</f>
        <v>46.197952218430039</v>
      </c>
      <c r="AS89" s="1">
        <v>390</v>
      </c>
      <c r="AT89" s="1">
        <v>315</v>
      </c>
      <c r="AU89" s="1">
        <v>435</v>
      </c>
      <c r="AV89" s="7">
        <v>1638</v>
      </c>
      <c r="AX89" s="23">
        <f t="shared" ref="AX89:AX127" si="50">AD89+AE89</f>
        <v>2.2889647326507396</v>
      </c>
      <c r="AY89" s="23">
        <f t="shared" ref="AY89:AY127" si="51">AK89+AL89</f>
        <v>1.9795221843003414</v>
      </c>
      <c r="AZ89" s="23">
        <f t="shared" ref="AZ89:AZ128" si="52">Z89+AA89+AC89+AF89</f>
        <v>30.753128555176332</v>
      </c>
    </row>
    <row r="90" spans="1:53" x14ac:dyDescent="0.25">
      <c r="A90" s="4">
        <v>1985</v>
      </c>
      <c r="C90" s="15">
        <v>5000</v>
      </c>
      <c r="D90" s="7">
        <v>22887</v>
      </c>
      <c r="E90" s="7">
        <v>23490</v>
      </c>
      <c r="F90" s="7">
        <v>3477</v>
      </c>
      <c r="G90" s="7">
        <v>1420</v>
      </c>
      <c r="H90" s="7">
        <v>3833</v>
      </c>
      <c r="I90" s="7">
        <f t="shared" ref="I90:I128" si="53">AV90-AU90</f>
        <v>1193</v>
      </c>
      <c r="J90" s="18">
        <f t="shared" si="27"/>
        <v>13112</v>
      </c>
      <c r="K90" s="7">
        <f t="shared" ref="K90:K128" si="54">AS90+AT90+AU90</f>
        <v>1242</v>
      </c>
      <c r="L90" s="7">
        <v>306</v>
      </c>
      <c r="M90" s="7">
        <v>219</v>
      </c>
      <c r="N90" s="7">
        <v>936</v>
      </c>
      <c r="O90" s="7">
        <v>4587</v>
      </c>
      <c r="P90" s="7">
        <v>1108</v>
      </c>
      <c r="Q90" s="7">
        <v>303</v>
      </c>
      <c r="R90" s="7">
        <v>1170</v>
      </c>
      <c r="S90" s="7">
        <v>141</v>
      </c>
      <c r="T90" s="7">
        <v>321</v>
      </c>
      <c r="U90" s="7">
        <v>529</v>
      </c>
      <c r="W90" s="21">
        <f t="shared" si="31"/>
        <v>100</v>
      </c>
      <c r="X90" s="11">
        <f t="shared" si="32"/>
        <v>14.802043422733076</v>
      </c>
      <c r="Y90" s="11">
        <f t="shared" si="33"/>
        <v>6.0451255853554704</v>
      </c>
      <c r="Z90" s="11">
        <f t="shared" si="34"/>
        <v>16.317581949765859</v>
      </c>
      <c r="AA90" s="11">
        <f t="shared" ref="AA90:AA128" si="55">(I90/E90)*100</f>
        <v>5.0787569178373779</v>
      </c>
      <c r="AB90" s="20">
        <f t="shared" si="35"/>
        <v>55.819497658578122</v>
      </c>
      <c r="AC90" s="11">
        <f t="shared" si="36"/>
        <v>5.2873563218390807</v>
      </c>
      <c r="AD90" s="11">
        <f t="shared" si="37"/>
        <v>1.3026819923371646</v>
      </c>
      <c r="AE90" s="11">
        <f t="shared" si="38"/>
        <v>0.93231162196679451</v>
      </c>
      <c r="AF90" s="11">
        <f t="shared" si="39"/>
        <v>3.984674329501916</v>
      </c>
      <c r="AG90" s="11">
        <f t="shared" si="40"/>
        <v>19.527458492975736</v>
      </c>
      <c r="AH90" s="11">
        <f t="shared" si="41"/>
        <v>4.7169008088548319</v>
      </c>
      <c r="AI90" s="11">
        <f t="shared" si="42"/>
        <v>1.2899106002554279</v>
      </c>
      <c r="AJ90" s="11">
        <f t="shared" si="43"/>
        <v>4.980842911877394</v>
      </c>
      <c r="AK90" s="11">
        <f t="shared" si="44"/>
        <v>0.60025542784163477</v>
      </c>
      <c r="AL90" s="11">
        <f t="shared" si="45"/>
        <v>1.3665389527458494</v>
      </c>
      <c r="AM90" s="11">
        <f t="shared" si="46"/>
        <v>2.2520221370796083</v>
      </c>
      <c r="AO90" s="11">
        <f t="shared" si="47"/>
        <v>102.63468344475028</v>
      </c>
      <c r="AP90" s="11">
        <f t="shared" si="48"/>
        <v>98.063005534269905</v>
      </c>
      <c r="AQ90" s="11">
        <f t="shared" si="49"/>
        <v>46.240953597275428</v>
      </c>
      <c r="AS90" s="1">
        <v>441</v>
      </c>
      <c r="AT90" s="1">
        <v>346</v>
      </c>
      <c r="AU90" s="1">
        <v>455</v>
      </c>
      <c r="AV90" s="7">
        <v>1648</v>
      </c>
      <c r="AX90" s="23">
        <f t="shared" si="50"/>
        <v>2.234993614303959</v>
      </c>
      <c r="AY90" s="23">
        <f t="shared" si="51"/>
        <v>1.9667943805874841</v>
      </c>
      <c r="AZ90" s="23">
        <f t="shared" si="52"/>
        <v>30.668369518944235</v>
      </c>
    </row>
    <row r="91" spans="1:53" x14ac:dyDescent="0.25">
      <c r="A91" s="4">
        <v>1986</v>
      </c>
      <c r="C91" s="15">
        <v>5000</v>
      </c>
      <c r="D91" s="7">
        <v>23172</v>
      </c>
      <c r="E91" s="7">
        <v>23866</v>
      </c>
      <c r="F91" s="7">
        <v>3448</v>
      </c>
      <c r="G91" s="7">
        <v>1346</v>
      </c>
      <c r="H91" s="7">
        <v>3979</v>
      </c>
      <c r="I91" s="7">
        <f t="shared" si="53"/>
        <v>1174</v>
      </c>
      <c r="J91" s="18">
        <f t="shared" si="27"/>
        <v>13448</v>
      </c>
      <c r="K91" s="7">
        <f t="shared" si="54"/>
        <v>1281</v>
      </c>
      <c r="L91" s="7">
        <v>271</v>
      </c>
      <c r="M91" s="7">
        <v>230</v>
      </c>
      <c r="N91" s="7">
        <v>998</v>
      </c>
      <c r="O91" s="7">
        <v>4842</v>
      </c>
      <c r="P91" s="7">
        <v>1135</v>
      </c>
      <c r="Q91" s="7">
        <v>303</v>
      </c>
      <c r="R91" s="7">
        <v>1149</v>
      </c>
      <c r="S91" s="7">
        <v>140</v>
      </c>
      <c r="T91" s="7">
        <v>314</v>
      </c>
      <c r="U91" s="7">
        <v>522</v>
      </c>
      <c r="W91" s="21">
        <f t="shared" si="31"/>
        <v>100</v>
      </c>
      <c r="X91" s="11">
        <f t="shared" si="32"/>
        <v>14.447330931031594</v>
      </c>
      <c r="Y91" s="11">
        <f t="shared" si="33"/>
        <v>5.6398223414061848</v>
      </c>
      <c r="Z91" s="11">
        <f t="shared" si="34"/>
        <v>16.672253414899856</v>
      </c>
      <c r="AA91" s="11">
        <f t="shared" si="55"/>
        <v>4.9191318193245621</v>
      </c>
      <c r="AB91" s="20">
        <f t="shared" si="35"/>
        <v>56.347942679963126</v>
      </c>
      <c r="AC91" s="11">
        <f t="shared" si="36"/>
        <v>5.3674683650381301</v>
      </c>
      <c r="AD91" s="11">
        <f t="shared" si="37"/>
        <v>1.1355065783960445</v>
      </c>
      <c r="AE91" s="11">
        <f t="shared" si="38"/>
        <v>0.96371407022542532</v>
      </c>
      <c r="AF91" s="11">
        <f t="shared" si="39"/>
        <v>4.1816810525433672</v>
      </c>
      <c r="AG91" s="11">
        <f t="shared" si="40"/>
        <v>20.288276208832649</v>
      </c>
      <c r="AH91" s="11">
        <f t="shared" si="41"/>
        <v>4.7557194335037289</v>
      </c>
      <c r="AI91" s="11">
        <f t="shared" si="42"/>
        <v>1.2695885359926253</v>
      </c>
      <c r="AJ91" s="11">
        <f t="shared" si="43"/>
        <v>4.8143802899522328</v>
      </c>
      <c r="AK91" s="11">
        <f t="shared" si="44"/>
        <v>0.58660856448504139</v>
      </c>
      <c r="AL91" s="11">
        <f t="shared" si="45"/>
        <v>1.3156792089164502</v>
      </c>
      <c r="AM91" s="11">
        <f t="shared" si="46"/>
        <v>2.1872119332942259</v>
      </c>
      <c r="AO91" s="11">
        <f t="shared" si="47"/>
        <v>102.99499395822545</v>
      </c>
      <c r="AP91" s="11">
        <f t="shared" si="48"/>
        <v>98.026481186625318</v>
      </c>
      <c r="AQ91" s="11">
        <f t="shared" si="49"/>
        <v>46.865834241179918</v>
      </c>
      <c r="AS91" s="1">
        <v>456</v>
      </c>
      <c r="AT91" s="1">
        <v>354</v>
      </c>
      <c r="AU91" s="1">
        <v>471</v>
      </c>
      <c r="AV91" s="7">
        <v>1645</v>
      </c>
      <c r="AX91" s="23">
        <f t="shared" si="50"/>
        <v>2.0992206486214697</v>
      </c>
      <c r="AY91" s="23">
        <f t="shared" si="51"/>
        <v>1.9022877734014916</v>
      </c>
      <c r="AZ91" s="23">
        <f t="shared" si="52"/>
        <v>31.140534651805915</v>
      </c>
    </row>
    <row r="92" spans="1:53" x14ac:dyDescent="0.25">
      <c r="A92" s="4">
        <v>1987</v>
      </c>
      <c r="C92" s="15">
        <v>5000</v>
      </c>
      <c r="D92" s="7">
        <v>24871</v>
      </c>
      <c r="E92" s="7">
        <v>24414</v>
      </c>
      <c r="F92" s="7">
        <v>3664</v>
      </c>
      <c r="G92" s="7">
        <v>1446</v>
      </c>
      <c r="H92" s="7">
        <v>4154</v>
      </c>
      <c r="I92" s="7">
        <f t="shared" si="53"/>
        <v>1172</v>
      </c>
      <c r="J92" s="18">
        <f t="shared" si="27"/>
        <v>13479</v>
      </c>
      <c r="K92" s="7">
        <f t="shared" si="54"/>
        <v>1319</v>
      </c>
      <c r="L92" s="7">
        <v>289</v>
      </c>
      <c r="M92" s="7">
        <v>232</v>
      </c>
      <c r="N92" s="7">
        <v>1032</v>
      </c>
      <c r="O92" s="7">
        <v>4600</v>
      </c>
      <c r="P92" s="7">
        <v>1135</v>
      </c>
      <c r="Q92" s="7">
        <v>330</v>
      </c>
      <c r="R92" s="7">
        <v>1193</v>
      </c>
      <c r="S92" s="7">
        <v>142</v>
      </c>
      <c r="T92" s="7">
        <v>337</v>
      </c>
      <c r="U92" s="7">
        <v>562</v>
      </c>
      <c r="W92" s="21">
        <f t="shared" si="31"/>
        <v>100</v>
      </c>
      <c r="X92" s="11">
        <f t="shared" si="32"/>
        <v>15.007782419922993</v>
      </c>
      <c r="Y92" s="11">
        <f t="shared" si="33"/>
        <v>5.9228311624477756</v>
      </c>
      <c r="Z92" s="11">
        <f t="shared" si="34"/>
        <v>17.014827557958547</v>
      </c>
      <c r="AA92" s="11">
        <f t="shared" si="55"/>
        <v>4.8005242893421807</v>
      </c>
      <c r="AB92" s="20">
        <f t="shared" si="35"/>
        <v>55.210125337920871</v>
      </c>
      <c r="AC92" s="11">
        <f t="shared" si="36"/>
        <v>5.4026378307528464</v>
      </c>
      <c r="AD92" s="11">
        <f t="shared" si="37"/>
        <v>1.1837470303923978</v>
      </c>
      <c r="AE92" s="11">
        <f t="shared" si="38"/>
        <v>0.95027443270254763</v>
      </c>
      <c r="AF92" s="11">
        <f t="shared" si="39"/>
        <v>4.2270828213320222</v>
      </c>
      <c r="AG92" s="11">
        <f t="shared" si="40"/>
        <v>18.84164823461948</v>
      </c>
      <c r="AH92" s="11">
        <f t="shared" si="41"/>
        <v>4.6489719013680677</v>
      </c>
      <c r="AI92" s="11">
        <f t="shared" si="42"/>
        <v>1.3516834603096584</v>
      </c>
      <c r="AJ92" s="11">
        <f t="shared" si="43"/>
        <v>4.8865405095437042</v>
      </c>
      <c r="AK92" s="11">
        <f t="shared" si="44"/>
        <v>0.58163348898173184</v>
      </c>
      <c r="AL92" s="11">
        <f t="shared" si="45"/>
        <v>1.3803555337101663</v>
      </c>
      <c r="AM92" s="11">
        <f t="shared" si="46"/>
        <v>2.3019578930122062</v>
      </c>
      <c r="AO92" s="11">
        <f t="shared" si="47"/>
        <v>98.162518595955135</v>
      </c>
      <c r="AP92" s="11">
        <f t="shared" si="48"/>
        <v>97.956090767592372</v>
      </c>
      <c r="AQ92" s="11">
        <f t="shared" si="49"/>
        <v>45.756533136724833</v>
      </c>
      <c r="AS92" s="1">
        <v>449</v>
      </c>
      <c r="AT92" s="1">
        <v>371</v>
      </c>
      <c r="AU92" s="1">
        <v>499</v>
      </c>
      <c r="AV92" s="7">
        <v>1671</v>
      </c>
      <c r="AX92" s="23">
        <f t="shared" si="50"/>
        <v>2.1340214630949452</v>
      </c>
      <c r="AY92" s="23">
        <f t="shared" si="51"/>
        <v>1.9619890226918981</v>
      </c>
      <c r="AZ92" s="23">
        <f t="shared" si="52"/>
        <v>31.445072499385599</v>
      </c>
    </row>
    <row r="93" spans="1:53" x14ac:dyDescent="0.25">
      <c r="A93" s="4">
        <v>1988</v>
      </c>
      <c r="C93" s="15">
        <v>5000</v>
      </c>
      <c r="D93" s="7">
        <v>26149</v>
      </c>
      <c r="E93" s="7">
        <v>25892</v>
      </c>
      <c r="F93" s="7">
        <v>3748</v>
      </c>
      <c r="G93" s="7">
        <v>1489</v>
      </c>
      <c r="H93" s="7">
        <v>4493</v>
      </c>
      <c r="I93" s="7">
        <f t="shared" si="53"/>
        <v>1210</v>
      </c>
      <c r="J93" s="18">
        <f t="shared" si="27"/>
        <v>14415</v>
      </c>
      <c r="K93" s="7">
        <f t="shared" si="54"/>
        <v>1427</v>
      </c>
      <c r="L93" s="7">
        <v>269</v>
      </c>
      <c r="M93" s="7">
        <v>242</v>
      </c>
      <c r="N93" s="7">
        <v>1083</v>
      </c>
      <c r="O93" s="7">
        <v>5093</v>
      </c>
      <c r="P93" s="7">
        <v>1298</v>
      </c>
      <c r="Q93" s="7">
        <v>334</v>
      </c>
      <c r="R93" s="7">
        <v>1329</v>
      </c>
      <c r="S93" s="7">
        <v>150</v>
      </c>
      <c r="T93" s="7">
        <v>342</v>
      </c>
      <c r="U93" s="7">
        <v>578</v>
      </c>
      <c r="W93" s="21">
        <f t="shared" si="31"/>
        <v>100</v>
      </c>
      <c r="X93" s="11">
        <f t="shared" si="32"/>
        <v>14.475513672176735</v>
      </c>
      <c r="Y93" s="11">
        <f t="shared" si="33"/>
        <v>5.7508110613316861</v>
      </c>
      <c r="Z93" s="11">
        <f t="shared" si="34"/>
        <v>17.352850301251351</v>
      </c>
      <c r="AA93" s="11">
        <f t="shared" si="55"/>
        <v>4.6732581492352852</v>
      </c>
      <c r="AB93" s="20">
        <f t="shared" si="35"/>
        <v>55.673567124980693</v>
      </c>
      <c r="AC93" s="11">
        <f t="shared" si="36"/>
        <v>5.511354858643597</v>
      </c>
      <c r="AD93" s="11">
        <f t="shared" si="37"/>
        <v>1.0389309439209022</v>
      </c>
      <c r="AE93" s="11">
        <f t="shared" si="38"/>
        <v>0.93465162984705707</v>
      </c>
      <c r="AF93" s="11">
        <f t="shared" si="39"/>
        <v>4.1827591534064572</v>
      </c>
      <c r="AG93" s="11">
        <f t="shared" si="40"/>
        <v>19.670168391781246</v>
      </c>
      <c r="AH93" s="11">
        <f t="shared" si="41"/>
        <v>5.0131314691796689</v>
      </c>
      <c r="AI93" s="11">
        <f t="shared" si="42"/>
        <v>1.2899737370616406</v>
      </c>
      <c r="AJ93" s="11">
        <f t="shared" si="43"/>
        <v>5.1328595705237134</v>
      </c>
      <c r="AK93" s="11">
        <f t="shared" si="44"/>
        <v>0.57932952263247339</v>
      </c>
      <c r="AL93" s="11">
        <f t="shared" si="45"/>
        <v>1.3208713116020392</v>
      </c>
      <c r="AM93" s="11">
        <f t="shared" si="46"/>
        <v>2.232349760543797</v>
      </c>
      <c r="AO93" s="11">
        <f t="shared" si="47"/>
        <v>99.017170828712381</v>
      </c>
      <c r="AP93" s="11">
        <f t="shared" si="48"/>
        <v>97.926000308975745</v>
      </c>
      <c r="AQ93" s="11">
        <f t="shared" si="49"/>
        <v>46.906380349142594</v>
      </c>
      <c r="AS93" s="1">
        <v>496</v>
      </c>
      <c r="AT93" s="1">
        <v>394</v>
      </c>
      <c r="AU93" s="1">
        <v>537</v>
      </c>
      <c r="AV93" s="7">
        <v>1747</v>
      </c>
      <c r="AX93" s="23">
        <f t="shared" si="50"/>
        <v>1.9735825737679593</v>
      </c>
      <c r="AY93" s="23">
        <f t="shared" si="51"/>
        <v>1.9002008342345125</v>
      </c>
      <c r="AZ93" s="23">
        <f t="shared" si="52"/>
        <v>31.72022246253669</v>
      </c>
    </row>
    <row r="94" spans="1:53" x14ac:dyDescent="0.25">
      <c r="A94" s="4">
        <v>1989</v>
      </c>
      <c r="C94" s="15">
        <v>5000</v>
      </c>
      <c r="D94" s="7">
        <v>28496</v>
      </c>
      <c r="E94" s="7">
        <v>27810</v>
      </c>
      <c r="F94" s="7">
        <v>4152</v>
      </c>
      <c r="G94" s="7">
        <v>1582</v>
      </c>
      <c r="H94" s="7">
        <v>4835</v>
      </c>
      <c r="I94" s="7">
        <f t="shared" si="53"/>
        <v>1268</v>
      </c>
      <c r="J94" s="18">
        <f t="shared" si="27"/>
        <v>15406</v>
      </c>
      <c r="K94" s="7">
        <f t="shared" si="54"/>
        <v>1560</v>
      </c>
      <c r="L94" s="7">
        <v>284</v>
      </c>
      <c r="M94" s="7">
        <v>261</v>
      </c>
      <c r="N94" s="7">
        <v>1086</v>
      </c>
      <c r="O94" s="7">
        <v>5187</v>
      </c>
      <c r="P94" s="7">
        <v>1407</v>
      </c>
      <c r="Q94" s="7">
        <v>366</v>
      </c>
      <c r="R94" s="7">
        <v>1424</v>
      </c>
      <c r="S94" s="7">
        <v>157</v>
      </c>
      <c r="T94" s="7">
        <v>367</v>
      </c>
      <c r="U94" s="7">
        <v>643</v>
      </c>
      <c r="W94" s="21">
        <f t="shared" si="31"/>
        <v>100</v>
      </c>
      <c r="X94" s="11">
        <f t="shared" si="32"/>
        <v>14.929881337648329</v>
      </c>
      <c r="Y94" s="11">
        <f t="shared" si="33"/>
        <v>5.6886012225818048</v>
      </c>
      <c r="Z94" s="11">
        <f t="shared" si="34"/>
        <v>17.385832434376127</v>
      </c>
      <c r="AA94" s="11">
        <f t="shared" si="55"/>
        <v>4.5595109672779577</v>
      </c>
      <c r="AB94" s="20">
        <f t="shared" si="35"/>
        <v>55.397339086659471</v>
      </c>
      <c r="AC94" s="11">
        <f t="shared" si="36"/>
        <v>5.6094929881337654</v>
      </c>
      <c r="AD94" s="11">
        <f t="shared" si="37"/>
        <v>1.021215390147429</v>
      </c>
      <c r="AE94" s="11">
        <f t="shared" si="38"/>
        <v>0.93851132686084138</v>
      </c>
      <c r="AF94" s="11">
        <f t="shared" si="39"/>
        <v>3.9050701186623513</v>
      </c>
      <c r="AG94" s="11">
        <f t="shared" si="40"/>
        <v>18.651564185544768</v>
      </c>
      <c r="AH94" s="11">
        <f t="shared" si="41"/>
        <v>5.0593311758360304</v>
      </c>
      <c r="AI94" s="11">
        <f t="shared" si="42"/>
        <v>1.3160733549083063</v>
      </c>
      <c r="AJ94" s="11">
        <f t="shared" si="43"/>
        <v>5.1204602660913343</v>
      </c>
      <c r="AK94" s="11">
        <f t="shared" si="44"/>
        <v>0.56454512765192377</v>
      </c>
      <c r="AL94" s="11">
        <f t="shared" si="45"/>
        <v>1.3196691837468537</v>
      </c>
      <c r="AM94" s="11">
        <f t="shared" si="46"/>
        <v>2.3121179431859042</v>
      </c>
      <c r="AO94" s="11">
        <f t="shared" si="47"/>
        <v>97.59264458169568</v>
      </c>
      <c r="AP94" s="11">
        <f t="shared" si="48"/>
        <v>97.961165048543691</v>
      </c>
      <c r="AQ94" s="11">
        <f t="shared" si="49"/>
        <v>45.818051060769506</v>
      </c>
      <c r="AS94" s="1">
        <v>533</v>
      </c>
      <c r="AT94" s="1">
        <v>460</v>
      </c>
      <c r="AU94" s="1">
        <v>567</v>
      </c>
      <c r="AV94" s="7">
        <v>1835</v>
      </c>
      <c r="AX94" s="23">
        <f t="shared" si="50"/>
        <v>1.9597267170082704</v>
      </c>
      <c r="AY94" s="23">
        <f t="shared" si="51"/>
        <v>1.8842143113987775</v>
      </c>
      <c r="AZ94" s="23">
        <f t="shared" si="52"/>
        <v>31.459906508450203</v>
      </c>
    </row>
    <row r="95" spans="1:53" x14ac:dyDescent="0.25">
      <c r="A95" s="4">
        <v>1990</v>
      </c>
      <c r="C95" s="15">
        <v>5000</v>
      </c>
      <c r="D95" s="7">
        <v>28937</v>
      </c>
      <c r="E95" s="7">
        <v>28381</v>
      </c>
      <c r="F95" s="7">
        <v>4296</v>
      </c>
      <c r="G95" s="7">
        <v>1618</v>
      </c>
      <c r="H95" s="7">
        <v>4836</v>
      </c>
      <c r="I95" s="7">
        <f t="shared" si="53"/>
        <v>1298</v>
      </c>
      <c r="J95" s="18">
        <f t="shared" si="27"/>
        <v>15741</v>
      </c>
      <c r="K95" s="7">
        <f t="shared" si="54"/>
        <v>1578</v>
      </c>
      <c r="L95" s="7">
        <v>293</v>
      </c>
      <c r="M95" s="7">
        <v>274</v>
      </c>
      <c r="N95" s="7">
        <v>1125</v>
      </c>
      <c r="O95" s="7">
        <v>5120</v>
      </c>
      <c r="P95" s="7">
        <v>1480</v>
      </c>
      <c r="Q95" s="7">
        <v>364</v>
      </c>
      <c r="R95" s="7">
        <v>1422</v>
      </c>
      <c r="S95" s="7">
        <v>153</v>
      </c>
      <c r="T95" s="7">
        <v>406</v>
      </c>
      <c r="U95" s="7">
        <v>842</v>
      </c>
      <c r="W95" s="21">
        <f t="shared" si="31"/>
        <v>100</v>
      </c>
      <c r="X95" s="11">
        <f t="shared" si="32"/>
        <v>15.136887354215849</v>
      </c>
      <c r="Y95" s="11">
        <f t="shared" si="33"/>
        <v>5.7009971459779427</v>
      </c>
      <c r="Z95" s="11">
        <f t="shared" si="34"/>
        <v>17.039568725555828</v>
      </c>
      <c r="AA95" s="11">
        <f t="shared" si="55"/>
        <v>4.573482259257954</v>
      </c>
      <c r="AB95" s="20">
        <f t="shared" si="35"/>
        <v>55.46316197456045</v>
      </c>
      <c r="AC95" s="11">
        <f t="shared" si="36"/>
        <v>5.5600577851379445</v>
      </c>
      <c r="AD95" s="11">
        <f t="shared" si="37"/>
        <v>1.0323808181529897</v>
      </c>
      <c r="AE95" s="11">
        <f t="shared" si="38"/>
        <v>0.96543462175399042</v>
      </c>
      <c r="AF95" s="11">
        <f t="shared" si="39"/>
        <v>3.9639195236249605</v>
      </c>
      <c r="AG95" s="11">
        <f t="shared" si="40"/>
        <v>18.040238187519819</v>
      </c>
      <c r="AH95" s="11">
        <f t="shared" si="41"/>
        <v>5.2147563510799477</v>
      </c>
      <c r="AI95" s="11">
        <f t="shared" si="42"/>
        <v>1.2825481836439871</v>
      </c>
      <c r="AJ95" s="11">
        <f t="shared" si="43"/>
        <v>5.0103942778619501</v>
      </c>
      <c r="AK95" s="11">
        <f t="shared" si="44"/>
        <v>0.53909305521299467</v>
      </c>
      <c r="AL95" s="11">
        <f t="shared" si="45"/>
        <v>1.4305345125259856</v>
      </c>
      <c r="AM95" s="11">
        <f t="shared" si="46"/>
        <v>2.9667735456819706</v>
      </c>
      <c r="AO95" s="11">
        <f t="shared" si="47"/>
        <v>98.078584511179457</v>
      </c>
      <c r="AP95" s="11">
        <f t="shared" si="48"/>
        <v>97.914097459568026</v>
      </c>
      <c r="AQ95" s="11">
        <f t="shared" si="49"/>
        <v>46.006130862196542</v>
      </c>
      <c r="AS95" s="1">
        <v>540</v>
      </c>
      <c r="AT95" s="1">
        <v>446</v>
      </c>
      <c r="AU95" s="1">
        <v>592</v>
      </c>
      <c r="AV95" s="7">
        <v>1890</v>
      </c>
      <c r="AX95" s="23">
        <f t="shared" si="50"/>
        <v>1.9978154399069801</v>
      </c>
      <c r="AY95" s="23">
        <f t="shared" si="51"/>
        <v>1.9696275677389803</v>
      </c>
      <c r="AZ95" s="23">
        <f t="shared" si="52"/>
        <v>31.137028293576684</v>
      </c>
    </row>
    <row r="96" spans="1:53" x14ac:dyDescent="0.25">
      <c r="A96" s="4">
        <v>1991</v>
      </c>
      <c r="C96" s="15">
        <v>5000</v>
      </c>
      <c r="D96" s="7">
        <v>30729</v>
      </c>
      <c r="E96" s="7">
        <v>29614</v>
      </c>
      <c r="F96" s="7">
        <v>4271</v>
      </c>
      <c r="G96" s="7">
        <v>1735</v>
      </c>
      <c r="H96" s="7">
        <v>5191</v>
      </c>
      <c r="I96" s="7">
        <f t="shared" si="53"/>
        <v>1372</v>
      </c>
      <c r="J96" s="18">
        <f t="shared" si="27"/>
        <v>16427</v>
      </c>
      <c r="K96" s="7">
        <f t="shared" si="54"/>
        <v>1625</v>
      </c>
      <c r="L96" s="7">
        <v>297</v>
      </c>
      <c r="M96" s="7">
        <v>276</v>
      </c>
      <c r="N96" s="7">
        <v>1200</v>
      </c>
      <c r="O96" s="7">
        <v>5151</v>
      </c>
      <c r="P96" s="7">
        <v>1554</v>
      </c>
      <c r="Q96" s="7">
        <v>399</v>
      </c>
      <c r="R96" s="7">
        <v>1472</v>
      </c>
      <c r="S96" s="7">
        <v>163</v>
      </c>
      <c r="T96" s="7">
        <v>447</v>
      </c>
      <c r="U96" s="7">
        <v>860</v>
      </c>
      <c r="W96" s="21">
        <f t="shared" si="31"/>
        <v>100</v>
      </c>
      <c r="X96" s="11">
        <f t="shared" si="32"/>
        <v>14.422232727763895</v>
      </c>
      <c r="Y96" s="11">
        <f t="shared" si="33"/>
        <v>5.8587154724116974</v>
      </c>
      <c r="Z96" s="11">
        <f t="shared" si="34"/>
        <v>17.528871479705543</v>
      </c>
      <c r="AA96" s="11">
        <f t="shared" si="55"/>
        <v>4.63294387789559</v>
      </c>
      <c r="AB96" s="20">
        <f t="shared" si="35"/>
        <v>55.470385628418995</v>
      </c>
      <c r="AC96" s="11">
        <f t="shared" si="36"/>
        <v>5.4872695346795428</v>
      </c>
      <c r="AD96" s="11">
        <f t="shared" si="37"/>
        <v>1.002904031876815</v>
      </c>
      <c r="AE96" s="11">
        <f t="shared" si="38"/>
        <v>0.93199162558249471</v>
      </c>
      <c r="AF96" s="11">
        <f t="shared" si="39"/>
        <v>4.0521375025325854</v>
      </c>
      <c r="AG96" s="11">
        <f t="shared" si="40"/>
        <v>17.393800229621124</v>
      </c>
      <c r="AH96" s="11">
        <f t="shared" si="41"/>
        <v>5.2475180657796985</v>
      </c>
      <c r="AI96" s="11">
        <f t="shared" si="42"/>
        <v>1.347335719592085</v>
      </c>
      <c r="AJ96" s="11">
        <f t="shared" si="43"/>
        <v>4.970622003106639</v>
      </c>
      <c r="AK96" s="11">
        <f t="shared" si="44"/>
        <v>0.55041534409400961</v>
      </c>
      <c r="AL96" s="11">
        <f t="shared" si="45"/>
        <v>1.5094212196933883</v>
      </c>
      <c r="AM96" s="11">
        <f t="shared" si="46"/>
        <v>2.90403187681502</v>
      </c>
      <c r="AO96" s="11">
        <f t="shared" si="47"/>
        <v>96.371505743759968</v>
      </c>
      <c r="AP96" s="11">
        <f t="shared" si="48"/>
        <v>97.913149186195724</v>
      </c>
      <c r="AQ96" s="11">
        <f t="shared" si="49"/>
        <v>45.397447153373406</v>
      </c>
      <c r="AS96" s="1">
        <v>559</v>
      </c>
      <c r="AT96" s="1">
        <v>448</v>
      </c>
      <c r="AU96" s="1">
        <v>618</v>
      </c>
      <c r="AV96" s="7">
        <v>1990</v>
      </c>
      <c r="AX96" s="23">
        <f t="shared" si="50"/>
        <v>1.9348956574593097</v>
      </c>
      <c r="AY96" s="23">
        <f t="shared" si="51"/>
        <v>2.0598365637873979</v>
      </c>
      <c r="AZ96" s="23">
        <f t="shared" si="52"/>
        <v>31.701222394813261</v>
      </c>
    </row>
    <row r="97" spans="1:52" x14ac:dyDescent="0.25">
      <c r="A97" s="4">
        <v>1992</v>
      </c>
      <c r="C97" s="15">
        <v>5000</v>
      </c>
      <c r="D97" s="7">
        <v>30786</v>
      </c>
      <c r="E97" s="7">
        <v>29846</v>
      </c>
      <c r="F97" s="7">
        <v>4273</v>
      </c>
      <c r="G97" s="7">
        <v>1710</v>
      </c>
      <c r="H97" s="7">
        <v>5411</v>
      </c>
      <c r="I97" s="7">
        <f t="shared" si="53"/>
        <v>1361</v>
      </c>
      <c r="J97" s="18">
        <f t="shared" si="27"/>
        <v>16468</v>
      </c>
      <c r="K97" s="7">
        <f t="shared" si="54"/>
        <v>1670</v>
      </c>
      <c r="L97" s="7">
        <v>301</v>
      </c>
      <c r="M97" s="7">
        <v>275</v>
      </c>
      <c r="N97" s="7">
        <v>1162</v>
      </c>
      <c r="O97" s="7">
        <v>5228</v>
      </c>
      <c r="P97" s="7">
        <v>1634</v>
      </c>
      <c r="Q97" s="7">
        <v>387</v>
      </c>
      <c r="R97" s="7">
        <v>1500</v>
      </c>
      <c r="S97" s="7">
        <v>162</v>
      </c>
      <c r="T97" s="7">
        <v>426</v>
      </c>
      <c r="U97" s="7">
        <v>765</v>
      </c>
      <c r="W97" s="21">
        <f t="shared" si="31"/>
        <v>100</v>
      </c>
      <c r="X97" s="11">
        <f t="shared" si="32"/>
        <v>14.316826375393688</v>
      </c>
      <c r="Y97" s="11">
        <f t="shared" si="33"/>
        <v>5.729410976345239</v>
      </c>
      <c r="Z97" s="11">
        <f t="shared" si="34"/>
        <v>18.129732627487773</v>
      </c>
      <c r="AA97" s="11">
        <f t="shared" si="55"/>
        <v>4.5600750519332571</v>
      </c>
      <c r="AB97" s="20">
        <f t="shared" si="35"/>
        <v>55.176573075118938</v>
      </c>
      <c r="AC97" s="11">
        <f t="shared" si="36"/>
        <v>5.5953896669570469</v>
      </c>
      <c r="AD97" s="11">
        <f t="shared" si="37"/>
        <v>1.0085103531461503</v>
      </c>
      <c r="AE97" s="11">
        <f t="shared" si="38"/>
        <v>0.92139650204382495</v>
      </c>
      <c r="AF97" s="11">
        <f t="shared" si="39"/>
        <v>3.8933190377269984</v>
      </c>
      <c r="AG97" s="11">
        <f t="shared" si="40"/>
        <v>17.516585137036788</v>
      </c>
      <c r="AH97" s="11">
        <f t="shared" si="41"/>
        <v>5.4747704885076729</v>
      </c>
      <c r="AI97" s="11">
        <f t="shared" si="42"/>
        <v>1.2966561683307647</v>
      </c>
      <c r="AJ97" s="11">
        <f t="shared" si="43"/>
        <v>5.0257991020572268</v>
      </c>
      <c r="AK97" s="11">
        <f t="shared" si="44"/>
        <v>0.54278630302218045</v>
      </c>
      <c r="AL97" s="11">
        <f t="shared" si="45"/>
        <v>1.4273269449842525</v>
      </c>
      <c r="AM97" s="11">
        <f t="shared" si="46"/>
        <v>2.5631575420491859</v>
      </c>
      <c r="AO97" s="11">
        <f t="shared" si="47"/>
        <v>96.946664068082896</v>
      </c>
      <c r="AP97" s="11">
        <f t="shared" si="48"/>
        <v>97.912618106278899</v>
      </c>
      <c r="AQ97" s="11">
        <f t="shared" si="49"/>
        <v>45.265697245862093</v>
      </c>
      <c r="AS97" s="1">
        <v>560</v>
      </c>
      <c r="AT97" s="1">
        <v>487</v>
      </c>
      <c r="AU97" s="1">
        <v>623</v>
      </c>
      <c r="AV97" s="7">
        <v>1984</v>
      </c>
      <c r="AX97" s="23">
        <f t="shared" si="50"/>
        <v>1.9299068551899752</v>
      </c>
      <c r="AY97" s="23">
        <f t="shared" si="51"/>
        <v>1.9701132480064329</v>
      </c>
      <c r="AZ97" s="23">
        <f t="shared" si="52"/>
        <v>32.178516384105073</v>
      </c>
    </row>
    <row r="98" spans="1:52" x14ac:dyDescent="0.25">
      <c r="A98" s="4">
        <v>1993</v>
      </c>
      <c r="C98" s="15">
        <v>5000</v>
      </c>
      <c r="D98" s="7">
        <v>31890</v>
      </c>
      <c r="E98" s="7">
        <v>30692</v>
      </c>
      <c r="F98" s="7">
        <v>4399</v>
      </c>
      <c r="G98" s="7">
        <v>1676</v>
      </c>
      <c r="H98" s="7">
        <v>5415</v>
      </c>
      <c r="I98" s="7">
        <f t="shared" si="53"/>
        <v>1454</v>
      </c>
      <c r="J98" s="18">
        <f t="shared" si="27"/>
        <v>17090</v>
      </c>
      <c r="K98" s="7">
        <f t="shared" si="54"/>
        <v>1755</v>
      </c>
      <c r="L98" s="7">
        <v>268</v>
      </c>
      <c r="M98" s="7">
        <v>268</v>
      </c>
      <c r="N98" s="7">
        <v>1230</v>
      </c>
      <c r="O98" s="7">
        <v>5453</v>
      </c>
      <c r="P98" s="7">
        <v>1776</v>
      </c>
      <c r="Q98" s="7">
        <v>385</v>
      </c>
      <c r="R98" s="7">
        <v>1626</v>
      </c>
      <c r="S98" s="7">
        <v>166</v>
      </c>
      <c r="T98" s="7">
        <v>455</v>
      </c>
      <c r="U98" s="7">
        <v>715</v>
      </c>
      <c r="W98" s="21">
        <f t="shared" si="31"/>
        <v>100</v>
      </c>
      <c r="X98" s="11">
        <f t="shared" si="32"/>
        <v>14.332725140101655</v>
      </c>
      <c r="Y98" s="11">
        <f t="shared" si="33"/>
        <v>5.4607063729962206</v>
      </c>
      <c r="Z98" s="11">
        <f t="shared" si="34"/>
        <v>17.6430340153786</v>
      </c>
      <c r="AA98" s="11">
        <f t="shared" si="55"/>
        <v>4.7373908510361007</v>
      </c>
      <c r="AB98" s="20">
        <f t="shared" si="35"/>
        <v>55.682262478821841</v>
      </c>
      <c r="AC98" s="11">
        <f t="shared" si="36"/>
        <v>5.7181024371171638</v>
      </c>
      <c r="AD98" s="11">
        <f t="shared" si="37"/>
        <v>0.87319171119509975</v>
      </c>
      <c r="AE98" s="11">
        <f t="shared" si="38"/>
        <v>0.87319171119509975</v>
      </c>
      <c r="AF98" s="11">
        <f t="shared" si="39"/>
        <v>4.0075589730222854</v>
      </c>
      <c r="AG98" s="11">
        <f t="shared" si="40"/>
        <v>17.766844780398802</v>
      </c>
      <c r="AH98" s="11">
        <f t="shared" si="41"/>
        <v>5.7865241756809596</v>
      </c>
      <c r="AI98" s="11">
        <f t="shared" si="42"/>
        <v>1.2543985403362439</v>
      </c>
      <c r="AJ98" s="11">
        <f t="shared" si="43"/>
        <v>5.2977974716538512</v>
      </c>
      <c r="AK98" s="11">
        <f t="shared" si="44"/>
        <v>0.54085755245666622</v>
      </c>
      <c r="AL98" s="11">
        <f t="shared" si="45"/>
        <v>1.4824710022155609</v>
      </c>
      <c r="AM98" s="11">
        <f t="shared" si="46"/>
        <v>2.3295972891958816</v>
      </c>
      <c r="AO98" s="11">
        <f t="shared" si="47"/>
        <v>96.243336469112577</v>
      </c>
      <c r="AP98" s="11">
        <f t="shared" si="48"/>
        <v>97.856118858334412</v>
      </c>
      <c r="AQ98" s="11">
        <f t="shared" si="49"/>
        <v>45.930535644467618</v>
      </c>
      <c r="AS98" s="1">
        <v>628</v>
      </c>
      <c r="AT98" s="1">
        <v>469</v>
      </c>
      <c r="AU98" s="1">
        <v>658</v>
      </c>
      <c r="AV98" s="7">
        <v>2112</v>
      </c>
      <c r="AX98" s="23">
        <f t="shared" si="50"/>
        <v>1.7463834223901995</v>
      </c>
      <c r="AY98" s="23">
        <f t="shared" si="51"/>
        <v>2.0233285546722271</v>
      </c>
      <c r="AZ98" s="23">
        <f t="shared" si="52"/>
        <v>32.106086276554151</v>
      </c>
    </row>
    <row r="99" spans="1:52" x14ac:dyDescent="0.25">
      <c r="A99" s="4">
        <v>1994</v>
      </c>
      <c r="C99" s="15">
        <v>5000</v>
      </c>
      <c r="D99" s="7">
        <v>33098</v>
      </c>
      <c r="E99" s="7">
        <v>31731</v>
      </c>
      <c r="F99" s="7">
        <v>4411</v>
      </c>
      <c r="G99" s="7">
        <v>1644</v>
      </c>
      <c r="H99" s="7">
        <v>5686</v>
      </c>
      <c r="I99" s="7">
        <f t="shared" si="53"/>
        <v>1499</v>
      </c>
      <c r="J99" s="18">
        <f t="shared" si="27"/>
        <v>17801</v>
      </c>
      <c r="K99" s="7">
        <f t="shared" si="54"/>
        <v>1831</v>
      </c>
      <c r="L99" s="7">
        <v>278</v>
      </c>
      <c r="M99" s="7">
        <v>259</v>
      </c>
      <c r="N99" s="7">
        <v>1348</v>
      </c>
      <c r="O99" s="7">
        <v>6044</v>
      </c>
      <c r="P99" s="7">
        <v>1755</v>
      </c>
      <c r="Q99" s="7">
        <v>397</v>
      </c>
      <c r="R99" s="7">
        <v>1567</v>
      </c>
      <c r="S99" s="7">
        <v>165</v>
      </c>
      <c r="T99" s="7">
        <v>460</v>
      </c>
      <c r="U99" s="7">
        <v>749</v>
      </c>
      <c r="W99" s="21">
        <f t="shared" si="31"/>
        <v>100</v>
      </c>
      <c r="X99" s="11">
        <f t="shared" si="32"/>
        <v>13.901232233462544</v>
      </c>
      <c r="Y99" s="11">
        <f t="shared" si="33"/>
        <v>5.1810532287037914</v>
      </c>
      <c r="Z99" s="11">
        <f t="shared" si="34"/>
        <v>17.919384828716396</v>
      </c>
      <c r="AA99" s="11">
        <f t="shared" si="55"/>
        <v>4.7240868551259023</v>
      </c>
      <c r="AB99" s="20">
        <f t="shared" si="35"/>
        <v>56.099713214206929</v>
      </c>
      <c r="AC99" s="11">
        <f t="shared" si="36"/>
        <v>5.7703822760076902</v>
      </c>
      <c r="AD99" s="11">
        <f t="shared" si="37"/>
        <v>0.87611484037691845</v>
      </c>
      <c r="AE99" s="11">
        <f t="shared" si="38"/>
        <v>0.81623648797705706</v>
      </c>
      <c r="AF99" s="11">
        <f t="shared" si="39"/>
        <v>4.2482115281585831</v>
      </c>
      <c r="AG99" s="11">
        <f t="shared" si="40"/>
        <v>19.047619047619047</v>
      </c>
      <c r="AH99" s="11">
        <f t="shared" si="41"/>
        <v>5.5308688664082446</v>
      </c>
      <c r="AI99" s="11">
        <f t="shared" si="42"/>
        <v>1.2511424159339448</v>
      </c>
      <c r="AJ99" s="11">
        <f t="shared" si="43"/>
        <v>4.9383883268727748</v>
      </c>
      <c r="AK99" s="11">
        <f t="shared" si="44"/>
        <v>0.51999621820932218</v>
      </c>
      <c r="AL99" s="11">
        <f t="shared" si="45"/>
        <v>1.4496864265229585</v>
      </c>
      <c r="AM99" s="11">
        <f t="shared" si="46"/>
        <v>2.3604676814471652</v>
      </c>
      <c r="AO99" s="11">
        <f t="shared" si="47"/>
        <v>95.869841078010751</v>
      </c>
      <c r="AP99" s="11">
        <f t="shared" si="48"/>
        <v>97.825470360215562</v>
      </c>
      <c r="AQ99" s="11">
        <f t="shared" si="49"/>
        <v>46.809114115533703</v>
      </c>
      <c r="AS99" s="1">
        <v>651</v>
      </c>
      <c r="AT99" s="1">
        <v>490</v>
      </c>
      <c r="AU99" s="1">
        <v>690</v>
      </c>
      <c r="AV99" s="7">
        <v>2189</v>
      </c>
      <c r="AX99" s="23">
        <f t="shared" si="50"/>
        <v>1.6923513283539755</v>
      </c>
      <c r="AY99" s="23">
        <f t="shared" si="51"/>
        <v>1.9696826447322806</v>
      </c>
      <c r="AZ99" s="23">
        <f t="shared" si="52"/>
        <v>32.662065488008572</v>
      </c>
    </row>
    <row r="100" spans="1:52" x14ac:dyDescent="0.25">
      <c r="A100" s="4">
        <v>1995</v>
      </c>
      <c r="C100" s="15">
        <v>5000</v>
      </c>
      <c r="D100" s="7">
        <v>33864</v>
      </c>
      <c r="E100" s="7">
        <v>32264</v>
      </c>
      <c r="F100" s="7">
        <v>4505</v>
      </c>
      <c r="G100" s="7">
        <v>1704</v>
      </c>
      <c r="H100" s="7">
        <v>5928</v>
      </c>
      <c r="I100" s="7">
        <f t="shared" si="53"/>
        <v>1483</v>
      </c>
      <c r="J100" s="18">
        <f t="shared" si="27"/>
        <v>17936</v>
      </c>
      <c r="K100" s="7">
        <f t="shared" si="54"/>
        <v>1932</v>
      </c>
      <c r="L100" s="7">
        <v>277</v>
      </c>
      <c r="M100" s="7">
        <v>269</v>
      </c>
      <c r="N100" s="7">
        <v>1401</v>
      </c>
      <c r="O100" s="7">
        <v>6014</v>
      </c>
      <c r="P100" s="7">
        <v>1732</v>
      </c>
      <c r="Q100" s="7">
        <v>403</v>
      </c>
      <c r="R100" s="7">
        <v>1612</v>
      </c>
      <c r="S100" s="7">
        <v>162</v>
      </c>
      <c r="T100" s="7">
        <v>471</v>
      </c>
      <c r="U100" s="7">
        <v>766</v>
      </c>
      <c r="W100" s="21">
        <f t="shared" si="31"/>
        <v>100</v>
      </c>
      <c r="X100" s="11">
        <f t="shared" si="32"/>
        <v>13.962930820728985</v>
      </c>
      <c r="Y100" s="11">
        <f t="shared" si="33"/>
        <v>5.2814282172080338</v>
      </c>
      <c r="Z100" s="11">
        <f t="shared" si="34"/>
        <v>18.373419290850485</v>
      </c>
      <c r="AA100" s="11">
        <f t="shared" si="55"/>
        <v>4.5964542524175558</v>
      </c>
      <c r="AB100" s="20">
        <f t="shared" si="35"/>
        <v>55.591371187701469</v>
      </c>
      <c r="AC100" s="11">
        <f t="shared" si="36"/>
        <v>5.9880981899330523</v>
      </c>
      <c r="AD100" s="11">
        <f t="shared" si="37"/>
        <v>0.85854202826679893</v>
      </c>
      <c r="AE100" s="11">
        <f t="shared" si="38"/>
        <v>0.83374659062732459</v>
      </c>
      <c r="AF100" s="11">
        <f t="shared" si="39"/>
        <v>4.3423010166129439</v>
      </c>
      <c r="AG100" s="11">
        <f t="shared" si="40"/>
        <v>18.639970245474832</v>
      </c>
      <c r="AH100" s="11">
        <f t="shared" si="41"/>
        <v>5.3682122489461941</v>
      </c>
      <c r="AI100" s="11">
        <f t="shared" si="42"/>
        <v>1.2490701710885197</v>
      </c>
      <c r="AJ100" s="11">
        <f t="shared" si="43"/>
        <v>4.9962806843540788</v>
      </c>
      <c r="AK100" s="11">
        <f t="shared" si="44"/>
        <v>0.50210761219935529</v>
      </c>
      <c r="AL100" s="11">
        <f t="shared" si="45"/>
        <v>1.4598313910240517</v>
      </c>
      <c r="AM100" s="11">
        <f t="shared" si="46"/>
        <v>2.3741631539796679</v>
      </c>
      <c r="AO100" s="11">
        <f t="shared" si="47"/>
        <v>95.275218521143401</v>
      </c>
      <c r="AP100" s="11">
        <f t="shared" si="48"/>
        <v>97.805603768906536</v>
      </c>
      <c r="AQ100" s="11">
        <f t="shared" si="49"/>
        <v>46.612323332506811</v>
      </c>
      <c r="AS100" s="1">
        <v>715</v>
      </c>
      <c r="AT100" s="1">
        <v>509</v>
      </c>
      <c r="AU100" s="1">
        <v>708</v>
      </c>
      <c r="AV100" s="7">
        <v>2191</v>
      </c>
      <c r="AX100" s="23">
        <f t="shared" si="50"/>
        <v>1.6922886188941235</v>
      </c>
      <c r="AY100" s="23">
        <f t="shared" si="51"/>
        <v>1.961939003223407</v>
      </c>
      <c r="AZ100" s="23">
        <f t="shared" si="52"/>
        <v>33.300272749814035</v>
      </c>
    </row>
    <row r="101" spans="1:52" x14ac:dyDescent="0.25">
      <c r="A101" s="4">
        <v>1996</v>
      </c>
      <c r="C101" s="15">
        <v>5000</v>
      </c>
      <c r="D101" s="7">
        <v>34864</v>
      </c>
      <c r="E101" s="7">
        <v>33797</v>
      </c>
      <c r="F101" s="7">
        <v>4698</v>
      </c>
      <c r="G101" s="7">
        <v>1752</v>
      </c>
      <c r="H101" s="7">
        <v>6064</v>
      </c>
      <c r="I101" s="7">
        <f t="shared" si="53"/>
        <v>1575</v>
      </c>
      <c r="J101" s="18">
        <f t="shared" si="27"/>
        <v>18936</v>
      </c>
      <c r="K101" s="7">
        <f t="shared" si="54"/>
        <v>2023</v>
      </c>
      <c r="L101" s="7">
        <v>309</v>
      </c>
      <c r="M101" s="7">
        <v>255</v>
      </c>
      <c r="N101" s="7">
        <v>1350</v>
      </c>
      <c r="O101" s="7">
        <v>6382</v>
      </c>
      <c r="P101" s="7">
        <v>1770</v>
      </c>
      <c r="Q101" s="7">
        <v>513</v>
      </c>
      <c r="R101" s="7">
        <v>1834</v>
      </c>
      <c r="S101" s="7">
        <v>159</v>
      </c>
      <c r="T101" s="7">
        <v>524</v>
      </c>
      <c r="U101" s="7">
        <v>855</v>
      </c>
      <c r="W101" s="21">
        <f t="shared" si="31"/>
        <v>100</v>
      </c>
      <c r="X101" s="11">
        <f t="shared" si="32"/>
        <v>13.900642068822677</v>
      </c>
      <c r="Y101" s="11">
        <f t="shared" si="33"/>
        <v>5.1838920614255706</v>
      </c>
      <c r="Z101" s="11">
        <f t="shared" si="34"/>
        <v>17.942420924934165</v>
      </c>
      <c r="AA101" s="11">
        <f t="shared" si="55"/>
        <v>4.6601769387815493</v>
      </c>
      <c r="AB101" s="20">
        <f t="shared" si="35"/>
        <v>56.028641595407876</v>
      </c>
      <c r="AC101" s="11">
        <f t="shared" si="36"/>
        <v>5.9857383791460776</v>
      </c>
      <c r="AD101" s="11">
        <f t="shared" si="37"/>
        <v>0.91428233275142756</v>
      </c>
      <c r="AE101" s="11">
        <f t="shared" si="38"/>
        <v>0.75450483770748877</v>
      </c>
      <c r="AF101" s="11">
        <f t="shared" si="39"/>
        <v>3.9944373760984706</v>
      </c>
      <c r="AG101" s="11">
        <f t="shared" si="40"/>
        <v>18.883332840192917</v>
      </c>
      <c r="AH101" s="11">
        <f t="shared" si="41"/>
        <v>5.2371512264402167</v>
      </c>
      <c r="AI101" s="11">
        <f t="shared" si="42"/>
        <v>1.5178862029174187</v>
      </c>
      <c r="AJ101" s="11">
        <f t="shared" si="43"/>
        <v>5.4265171464922917</v>
      </c>
      <c r="AK101" s="11">
        <f t="shared" si="44"/>
        <v>0.47045595762937537</v>
      </c>
      <c r="AL101" s="11">
        <f t="shared" si="45"/>
        <v>1.5504334704263691</v>
      </c>
      <c r="AM101" s="11">
        <f t="shared" si="46"/>
        <v>2.529810338195698</v>
      </c>
      <c r="AO101" s="11">
        <f t="shared" si="47"/>
        <v>96.939536484625975</v>
      </c>
      <c r="AP101" s="11">
        <f t="shared" si="48"/>
        <v>97.715773589371835</v>
      </c>
      <c r="AQ101" s="11">
        <f t="shared" si="49"/>
        <v>47.264550107997749</v>
      </c>
      <c r="AS101" s="1">
        <v>729</v>
      </c>
      <c r="AT101" s="1">
        <v>522</v>
      </c>
      <c r="AU101" s="1">
        <v>772</v>
      </c>
      <c r="AV101" s="7">
        <v>2347</v>
      </c>
      <c r="AX101" s="23">
        <f t="shared" si="50"/>
        <v>1.6687871704589163</v>
      </c>
      <c r="AY101" s="23">
        <f t="shared" si="51"/>
        <v>2.0208894280557446</v>
      </c>
      <c r="AZ101" s="23">
        <f t="shared" si="52"/>
        <v>32.58277361896026</v>
      </c>
    </row>
    <row r="102" spans="1:52" x14ac:dyDescent="0.25">
      <c r="A102" s="4">
        <v>1997</v>
      </c>
      <c r="C102" s="15">
        <v>5000</v>
      </c>
      <c r="D102" s="7">
        <v>36684</v>
      </c>
      <c r="E102" s="7">
        <v>34819</v>
      </c>
      <c r="F102" s="7">
        <v>4801</v>
      </c>
      <c r="G102" s="7">
        <v>1729</v>
      </c>
      <c r="H102" s="7">
        <v>6344</v>
      </c>
      <c r="I102" s="7">
        <f t="shared" si="53"/>
        <v>1603</v>
      </c>
      <c r="J102" s="18">
        <f t="shared" si="27"/>
        <v>19533</v>
      </c>
      <c r="K102" s="7">
        <f t="shared" si="54"/>
        <v>2095</v>
      </c>
      <c r="L102" s="7">
        <v>309</v>
      </c>
      <c r="M102" s="7">
        <v>264</v>
      </c>
      <c r="N102" s="7">
        <v>1512</v>
      </c>
      <c r="O102" s="7">
        <v>6457</v>
      </c>
      <c r="P102" s="7">
        <v>1841</v>
      </c>
      <c r="Q102" s="7">
        <v>528</v>
      </c>
      <c r="R102" s="7">
        <v>1813</v>
      </c>
      <c r="S102" s="7">
        <v>164</v>
      </c>
      <c r="T102" s="7">
        <v>571</v>
      </c>
      <c r="U102" s="7">
        <v>847</v>
      </c>
      <c r="W102" s="21">
        <f t="shared" si="31"/>
        <v>100</v>
      </c>
      <c r="X102" s="11">
        <f t="shared" si="32"/>
        <v>13.788448835405957</v>
      </c>
      <c r="Y102" s="11">
        <f t="shared" si="33"/>
        <v>4.9656796576581748</v>
      </c>
      <c r="Z102" s="11">
        <f t="shared" si="34"/>
        <v>18.219937390505184</v>
      </c>
      <c r="AA102" s="11">
        <f t="shared" si="55"/>
        <v>4.6038082656021144</v>
      </c>
      <c r="AB102" s="20">
        <f t="shared" si="35"/>
        <v>56.098681754214653</v>
      </c>
      <c r="AC102" s="11">
        <f t="shared" si="36"/>
        <v>6.0168298917257816</v>
      </c>
      <c r="AD102" s="11">
        <f t="shared" si="37"/>
        <v>0.88744650908986478</v>
      </c>
      <c r="AE102" s="11">
        <f t="shared" si="38"/>
        <v>0.75820672621269991</v>
      </c>
      <c r="AF102" s="11">
        <f t="shared" si="39"/>
        <v>4.3424567046727365</v>
      </c>
      <c r="AG102" s="11">
        <f t="shared" si="40"/>
        <v>18.544472845285618</v>
      </c>
      <c r="AH102" s="11">
        <f t="shared" si="41"/>
        <v>5.2873431172635623</v>
      </c>
      <c r="AI102" s="11">
        <f t="shared" si="42"/>
        <v>1.5164134524253998</v>
      </c>
      <c r="AJ102" s="11">
        <f t="shared" si="43"/>
        <v>5.2069272523622159</v>
      </c>
      <c r="AK102" s="11">
        <f t="shared" si="44"/>
        <v>0.47100720870788937</v>
      </c>
      <c r="AL102" s="11">
        <f t="shared" si="45"/>
        <v>1.6399092449524686</v>
      </c>
      <c r="AM102" s="11">
        <f t="shared" si="46"/>
        <v>2.4325799132657457</v>
      </c>
      <c r="AO102" s="11">
        <f t="shared" si="47"/>
        <v>94.916039690328219</v>
      </c>
      <c r="AP102" s="11">
        <f t="shared" si="48"/>
        <v>97.676555903386074</v>
      </c>
      <c r="AQ102" s="11">
        <f t="shared" si="49"/>
        <v>47.103592865963982</v>
      </c>
      <c r="AS102" s="1">
        <v>738</v>
      </c>
      <c r="AT102" s="1">
        <v>548</v>
      </c>
      <c r="AU102" s="1">
        <v>809</v>
      </c>
      <c r="AV102" s="7">
        <v>2412</v>
      </c>
      <c r="AX102" s="23">
        <f t="shared" si="50"/>
        <v>1.6456532353025648</v>
      </c>
      <c r="AY102" s="23">
        <f t="shared" si="51"/>
        <v>2.1109164536603577</v>
      </c>
      <c r="AZ102" s="23">
        <f t="shared" si="52"/>
        <v>33.183032252505818</v>
      </c>
    </row>
    <row r="103" spans="1:52" x14ac:dyDescent="0.25">
      <c r="A103" s="4">
        <v>1998</v>
      </c>
      <c r="C103" s="15">
        <v>5000</v>
      </c>
      <c r="D103" s="7">
        <v>38358</v>
      </c>
      <c r="E103" s="7">
        <v>35535</v>
      </c>
      <c r="F103" s="7">
        <v>4810</v>
      </c>
      <c r="G103" s="7">
        <v>1674</v>
      </c>
      <c r="H103" s="7">
        <v>6680</v>
      </c>
      <c r="I103" s="7">
        <f t="shared" si="53"/>
        <v>1575</v>
      </c>
      <c r="J103" s="18">
        <f t="shared" si="27"/>
        <v>19966</v>
      </c>
      <c r="K103" s="7">
        <f t="shared" si="54"/>
        <v>2151</v>
      </c>
      <c r="L103" s="7">
        <v>309</v>
      </c>
      <c r="M103" s="7">
        <v>273</v>
      </c>
      <c r="N103" s="7">
        <v>1601</v>
      </c>
      <c r="O103" s="7">
        <v>6616</v>
      </c>
      <c r="P103" s="7">
        <v>1903</v>
      </c>
      <c r="Q103" s="7">
        <v>401</v>
      </c>
      <c r="R103" s="7">
        <v>1746</v>
      </c>
      <c r="S103" s="7">
        <v>161</v>
      </c>
      <c r="T103" s="7">
        <v>580</v>
      </c>
      <c r="U103" s="7">
        <v>860</v>
      </c>
      <c r="W103" s="21">
        <f t="shared" si="31"/>
        <v>100</v>
      </c>
      <c r="X103" s="11">
        <f t="shared" si="32"/>
        <v>13.53595047136626</v>
      </c>
      <c r="Y103" s="11">
        <f t="shared" si="33"/>
        <v>4.7108484592655122</v>
      </c>
      <c r="Z103" s="11">
        <f t="shared" si="34"/>
        <v>18.798367806388068</v>
      </c>
      <c r="AA103" s="11">
        <f t="shared" si="55"/>
        <v>4.4322498944702406</v>
      </c>
      <c r="AB103" s="20">
        <f t="shared" si="35"/>
        <v>56.186858027297028</v>
      </c>
      <c r="AC103" s="11">
        <f t="shared" si="36"/>
        <v>6.0531869987336426</v>
      </c>
      <c r="AD103" s="11">
        <f t="shared" si="37"/>
        <v>0.86956521739130432</v>
      </c>
      <c r="AE103" s="11">
        <f t="shared" si="38"/>
        <v>0.76825664837484176</v>
      </c>
      <c r="AF103" s="11">
        <f t="shared" si="39"/>
        <v>4.5054171943154637</v>
      </c>
      <c r="AG103" s="11">
        <f t="shared" si="40"/>
        <v>18.618263683692135</v>
      </c>
      <c r="AH103" s="11">
        <f t="shared" si="41"/>
        <v>5.3552835232869</v>
      </c>
      <c r="AI103" s="11">
        <f t="shared" si="42"/>
        <v>1.128464893766709</v>
      </c>
      <c r="AJ103" s="11">
        <f t="shared" si="43"/>
        <v>4.9134655972984378</v>
      </c>
      <c r="AK103" s="11">
        <f t="shared" si="44"/>
        <v>0.45307443365695793</v>
      </c>
      <c r="AL103" s="11">
        <f t="shared" si="45"/>
        <v>1.632193611931898</v>
      </c>
      <c r="AM103" s="11">
        <f t="shared" si="46"/>
        <v>2.4201491487266078</v>
      </c>
      <c r="AO103" s="11">
        <f t="shared" si="47"/>
        <v>92.640387924292185</v>
      </c>
      <c r="AP103" s="11">
        <f t="shared" si="48"/>
        <v>97.664274658787107</v>
      </c>
      <c r="AQ103" s="11">
        <f t="shared" si="49"/>
        <v>46.717320951174898</v>
      </c>
      <c r="AS103" s="1">
        <v>775</v>
      </c>
      <c r="AT103" s="1">
        <v>546</v>
      </c>
      <c r="AU103" s="1">
        <v>830</v>
      </c>
      <c r="AV103" s="7">
        <v>2405</v>
      </c>
      <c r="AX103" s="23">
        <f t="shared" si="50"/>
        <v>1.6378218657661461</v>
      </c>
      <c r="AY103" s="23">
        <f t="shared" si="51"/>
        <v>2.0852680455888559</v>
      </c>
      <c r="AZ103" s="23">
        <f t="shared" si="52"/>
        <v>33.789221893907417</v>
      </c>
    </row>
    <row r="104" spans="1:52" x14ac:dyDescent="0.25">
      <c r="A104" s="4">
        <v>1999</v>
      </c>
      <c r="C104" s="15">
        <v>7500</v>
      </c>
      <c r="D104" s="7">
        <v>40652</v>
      </c>
      <c r="E104" s="7">
        <v>36995</v>
      </c>
      <c r="F104" s="7">
        <v>5031</v>
      </c>
      <c r="G104" s="7">
        <v>1743</v>
      </c>
      <c r="H104" s="7">
        <v>7016</v>
      </c>
      <c r="I104" s="7">
        <f t="shared" si="53"/>
        <v>1528</v>
      </c>
      <c r="J104" s="18">
        <f t="shared" si="27"/>
        <v>20828</v>
      </c>
      <c r="K104" s="7">
        <f t="shared" si="54"/>
        <v>2369</v>
      </c>
      <c r="L104" s="7">
        <v>318</v>
      </c>
      <c r="M104" s="7">
        <v>300</v>
      </c>
      <c r="N104" s="7">
        <v>1499</v>
      </c>
      <c r="O104" s="7">
        <v>7011</v>
      </c>
      <c r="P104" s="7">
        <v>1959</v>
      </c>
      <c r="Q104" s="7">
        <v>408</v>
      </c>
      <c r="R104" s="7">
        <v>1891</v>
      </c>
      <c r="S104" s="7">
        <v>159</v>
      </c>
      <c r="T104" s="7">
        <v>635</v>
      </c>
      <c r="U104" s="7">
        <v>867</v>
      </c>
      <c r="W104" s="21">
        <f t="shared" si="31"/>
        <v>100</v>
      </c>
      <c r="X104" s="11">
        <f t="shared" si="32"/>
        <v>13.599135018245709</v>
      </c>
      <c r="Y104" s="11">
        <f t="shared" si="33"/>
        <v>4.7114474929044459</v>
      </c>
      <c r="Z104" s="11">
        <f t="shared" si="34"/>
        <v>18.964724962832815</v>
      </c>
      <c r="AA104" s="11">
        <f t="shared" si="55"/>
        <v>4.1302878767401001</v>
      </c>
      <c r="AB104" s="20">
        <f t="shared" si="35"/>
        <v>56.299499932423302</v>
      </c>
      <c r="AC104" s="11">
        <f t="shared" si="36"/>
        <v>6.4035680497364504</v>
      </c>
      <c r="AD104" s="11">
        <f t="shared" si="37"/>
        <v>0.85957561832680096</v>
      </c>
      <c r="AE104" s="11">
        <f t="shared" si="38"/>
        <v>0.81092039464792531</v>
      </c>
      <c r="AF104" s="11">
        <f t="shared" si="39"/>
        <v>4.0518989052574668</v>
      </c>
      <c r="AG104" s="11">
        <f t="shared" si="40"/>
        <v>18.951209622922015</v>
      </c>
      <c r="AH104" s="11">
        <f t="shared" si="41"/>
        <v>5.2953101770509523</v>
      </c>
      <c r="AI104" s="11">
        <f t="shared" si="42"/>
        <v>1.1028517367211785</v>
      </c>
      <c r="AJ104" s="11">
        <f t="shared" si="43"/>
        <v>5.1115015542640894</v>
      </c>
      <c r="AK104" s="11">
        <f t="shared" si="44"/>
        <v>0.42978780916340048</v>
      </c>
      <c r="AL104" s="11">
        <f t="shared" si="45"/>
        <v>1.7164481686714421</v>
      </c>
      <c r="AM104" s="11">
        <f t="shared" si="46"/>
        <v>2.3435599405325043</v>
      </c>
      <c r="AO104" s="11">
        <f t="shared" si="47"/>
        <v>91.004132638000584</v>
      </c>
      <c r="AP104" s="11">
        <f t="shared" si="48"/>
        <v>97.705095283146363</v>
      </c>
      <c r="AQ104" s="11">
        <f t="shared" si="49"/>
        <v>47.076631977294227</v>
      </c>
      <c r="AS104" s="1">
        <v>854</v>
      </c>
      <c r="AT104" s="1">
        <v>666</v>
      </c>
      <c r="AU104" s="1">
        <v>849</v>
      </c>
      <c r="AV104" s="7">
        <v>2377</v>
      </c>
      <c r="AX104" s="23">
        <f t="shared" si="50"/>
        <v>1.6704960129747262</v>
      </c>
      <c r="AY104" s="23">
        <f t="shared" si="51"/>
        <v>2.1462359778348428</v>
      </c>
      <c r="AZ104" s="23">
        <f t="shared" si="52"/>
        <v>33.550479794566833</v>
      </c>
    </row>
    <row r="105" spans="1:52" x14ac:dyDescent="0.25">
      <c r="A105" s="4">
        <v>2000</v>
      </c>
      <c r="C105" s="15">
        <v>7500</v>
      </c>
      <c r="D105" s="7">
        <v>41532</v>
      </c>
      <c r="E105" s="7">
        <v>38045</v>
      </c>
      <c r="F105" s="7">
        <v>5158</v>
      </c>
      <c r="G105" s="7">
        <v>1856</v>
      </c>
      <c r="H105" s="7">
        <v>7114</v>
      </c>
      <c r="I105" s="7">
        <f t="shared" si="53"/>
        <v>1612</v>
      </c>
      <c r="J105" s="18">
        <f t="shared" si="27"/>
        <v>21428</v>
      </c>
      <c r="K105" s="7">
        <f t="shared" si="54"/>
        <v>2386</v>
      </c>
      <c r="L105" s="7">
        <v>372</v>
      </c>
      <c r="M105" s="7">
        <v>319</v>
      </c>
      <c r="N105" s="7">
        <v>1549</v>
      </c>
      <c r="O105" s="7">
        <v>7417</v>
      </c>
      <c r="P105" s="7">
        <v>2066</v>
      </c>
      <c r="Q105" s="7">
        <v>564</v>
      </c>
      <c r="R105" s="7">
        <v>1863</v>
      </c>
      <c r="S105" s="7">
        <v>146</v>
      </c>
      <c r="T105" s="7">
        <v>632</v>
      </c>
      <c r="U105" s="7">
        <v>776</v>
      </c>
      <c r="W105" s="21">
        <f t="shared" si="31"/>
        <v>100</v>
      </c>
      <c r="X105" s="11">
        <f t="shared" si="32"/>
        <v>13.557629123406493</v>
      </c>
      <c r="Y105" s="11">
        <f t="shared" si="33"/>
        <v>4.8784334340912077</v>
      </c>
      <c r="Z105" s="11">
        <f t="shared" si="34"/>
        <v>18.698909186489683</v>
      </c>
      <c r="AA105" s="11">
        <f t="shared" si="55"/>
        <v>4.2370876593507685</v>
      </c>
      <c r="AB105" s="20">
        <f t="shared" si="35"/>
        <v>56.322775660402158</v>
      </c>
      <c r="AC105" s="11">
        <f t="shared" si="36"/>
        <v>6.2715205677487189</v>
      </c>
      <c r="AD105" s="11">
        <f t="shared" si="37"/>
        <v>0.97778945985017751</v>
      </c>
      <c r="AE105" s="11">
        <f t="shared" si="38"/>
        <v>0.83848074648442628</v>
      </c>
      <c r="AF105" s="11">
        <f t="shared" si="39"/>
        <v>4.0714942830858192</v>
      </c>
      <c r="AG105" s="11">
        <f t="shared" si="40"/>
        <v>19.495334472335394</v>
      </c>
      <c r="AH105" s="11">
        <f t="shared" si="41"/>
        <v>5.430411354974372</v>
      </c>
      <c r="AI105" s="11">
        <f t="shared" si="42"/>
        <v>1.4824549875147852</v>
      </c>
      <c r="AJ105" s="11">
        <f t="shared" si="43"/>
        <v>4.8968326981206465</v>
      </c>
      <c r="AK105" s="11">
        <f t="shared" si="44"/>
        <v>0.38375607832829545</v>
      </c>
      <c r="AL105" s="11">
        <f t="shared" si="45"/>
        <v>1.6611906952293336</v>
      </c>
      <c r="AM105" s="11">
        <f t="shared" si="46"/>
        <v>2.0396898409777897</v>
      </c>
      <c r="AO105" s="11">
        <f t="shared" si="47"/>
        <v>91.604064335933728</v>
      </c>
      <c r="AP105" s="11">
        <f t="shared" si="48"/>
        <v>97.6948350637403</v>
      </c>
      <c r="AQ105" s="11">
        <f t="shared" si="49"/>
        <v>47.54895518464977</v>
      </c>
      <c r="AS105" s="1">
        <v>825</v>
      </c>
      <c r="AT105" s="1">
        <v>684</v>
      </c>
      <c r="AU105" s="1">
        <v>877</v>
      </c>
      <c r="AV105" s="7">
        <v>2489</v>
      </c>
      <c r="AX105" s="23">
        <f t="shared" si="50"/>
        <v>1.8162702063346039</v>
      </c>
      <c r="AY105" s="23">
        <f t="shared" si="51"/>
        <v>2.044946773557629</v>
      </c>
      <c r="AZ105" s="23">
        <f t="shared" si="52"/>
        <v>33.279011696674985</v>
      </c>
    </row>
    <row r="106" spans="1:52" x14ac:dyDescent="0.25">
      <c r="A106" s="4">
        <v>2001</v>
      </c>
      <c r="C106" s="15">
        <v>7500</v>
      </c>
      <c r="D106" s="7">
        <v>44587</v>
      </c>
      <c r="E106" s="7">
        <v>39518</v>
      </c>
      <c r="F106" s="7">
        <v>5321</v>
      </c>
      <c r="G106" s="7">
        <v>1743</v>
      </c>
      <c r="H106" s="7">
        <v>7602</v>
      </c>
      <c r="I106" s="7">
        <f t="shared" si="53"/>
        <v>1853</v>
      </c>
      <c r="J106" s="18">
        <f t="shared" si="27"/>
        <v>22085</v>
      </c>
      <c r="K106" s="7">
        <f t="shared" si="54"/>
        <v>2474</v>
      </c>
      <c r="L106" s="7">
        <v>349</v>
      </c>
      <c r="M106" s="7">
        <v>308</v>
      </c>
      <c r="N106" s="7">
        <v>1458</v>
      </c>
      <c r="O106" s="7">
        <v>7633</v>
      </c>
      <c r="P106" s="7">
        <v>2182</v>
      </c>
      <c r="Q106" s="7">
        <v>485</v>
      </c>
      <c r="R106" s="7">
        <v>1953</v>
      </c>
      <c r="S106" s="7">
        <v>141</v>
      </c>
      <c r="T106" s="7">
        <v>648</v>
      </c>
      <c r="U106" s="7">
        <v>750</v>
      </c>
      <c r="W106" s="21">
        <f t="shared" si="31"/>
        <v>100</v>
      </c>
      <c r="X106" s="11">
        <f t="shared" si="32"/>
        <v>13.46475024039678</v>
      </c>
      <c r="Y106" s="11">
        <f t="shared" si="33"/>
        <v>4.4106483121615465</v>
      </c>
      <c r="Z106" s="11">
        <f t="shared" si="34"/>
        <v>19.23680348195759</v>
      </c>
      <c r="AA106" s="11">
        <f t="shared" si="55"/>
        <v>4.6890024798825847</v>
      </c>
      <c r="AB106" s="20">
        <f t="shared" si="35"/>
        <v>55.88592540108305</v>
      </c>
      <c r="AC106" s="11">
        <f t="shared" si="36"/>
        <v>6.2604382812895389</v>
      </c>
      <c r="AD106" s="11">
        <f t="shared" si="37"/>
        <v>0.88314185940584033</v>
      </c>
      <c r="AE106" s="11">
        <f t="shared" si="38"/>
        <v>0.77939166961890782</v>
      </c>
      <c r="AF106" s="11">
        <f t="shared" si="39"/>
        <v>3.6894579685206743</v>
      </c>
      <c r="AG106" s="11">
        <f t="shared" si="40"/>
        <v>19.315248747406244</v>
      </c>
      <c r="AH106" s="11">
        <f t="shared" si="41"/>
        <v>5.5215344906118728</v>
      </c>
      <c r="AI106" s="11">
        <f t="shared" si="42"/>
        <v>1.2272888304063971</v>
      </c>
      <c r="AJ106" s="11">
        <f t="shared" si="43"/>
        <v>4.9420517232653474</v>
      </c>
      <c r="AK106" s="11">
        <f t="shared" si="44"/>
        <v>0.35679943316969481</v>
      </c>
      <c r="AL106" s="11">
        <f t="shared" si="45"/>
        <v>1.6397590971202995</v>
      </c>
      <c r="AM106" s="11">
        <f t="shared" si="46"/>
        <v>1.8978693253707171</v>
      </c>
      <c r="AO106" s="11">
        <f t="shared" si="47"/>
        <v>88.631215376679307</v>
      </c>
      <c r="AP106" s="11">
        <f t="shared" si="48"/>
        <v>97.687129915481549</v>
      </c>
      <c r="AQ106" s="11">
        <f t="shared" si="49"/>
        <v>46.512981426185533</v>
      </c>
      <c r="AS106" s="1">
        <v>884</v>
      </c>
      <c r="AT106" s="1">
        <v>676</v>
      </c>
      <c r="AU106" s="1">
        <v>914</v>
      </c>
      <c r="AV106" s="7">
        <v>2767</v>
      </c>
      <c r="AX106" s="23">
        <f t="shared" si="50"/>
        <v>1.6625335290247483</v>
      </c>
      <c r="AY106" s="23">
        <f t="shared" si="51"/>
        <v>1.9965585302899944</v>
      </c>
      <c r="AZ106" s="23">
        <f t="shared" si="52"/>
        <v>33.875702211650392</v>
      </c>
    </row>
    <row r="107" spans="1:52" x14ac:dyDescent="0.25">
      <c r="A107" s="4">
        <v>2002</v>
      </c>
      <c r="C107" s="15">
        <v>7500</v>
      </c>
      <c r="D107" s="7">
        <v>46934</v>
      </c>
      <c r="E107" s="7">
        <v>40677</v>
      </c>
      <c r="F107" s="7">
        <v>5375</v>
      </c>
      <c r="G107" s="7">
        <v>1749</v>
      </c>
      <c r="H107" s="7">
        <v>7829</v>
      </c>
      <c r="I107" s="7">
        <f t="shared" si="53"/>
        <v>1727</v>
      </c>
      <c r="J107" s="18">
        <f t="shared" si="27"/>
        <v>23040</v>
      </c>
      <c r="K107" s="7">
        <f t="shared" si="54"/>
        <v>2623</v>
      </c>
      <c r="L107" s="7">
        <v>376</v>
      </c>
      <c r="M107" s="7">
        <v>320</v>
      </c>
      <c r="N107" s="7">
        <v>1518</v>
      </c>
      <c r="O107" s="7">
        <v>7759</v>
      </c>
      <c r="P107" s="7">
        <v>2350</v>
      </c>
      <c r="Q107" s="7">
        <v>526</v>
      </c>
      <c r="R107" s="7">
        <v>2079</v>
      </c>
      <c r="S107" s="7">
        <v>139</v>
      </c>
      <c r="T107" s="7">
        <v>752</v>
      </c>
      <c r="U107" s="7">
        <v>792</v>
      </c>
      <c r="W107" s="21">
        <f t="shared" si="31"/>
        <v>100</v>
      </c>
      <c r="X107" s="11">
        <f t="shared" si="32"/>
        <v>13.213855495734691</v>
      </c>
      <c r="Y107" s="11">
        <f t="shared" si="33"/>
        <v>4.2997271185190655</v>
      </c>
      <c r="Z107" s="11">
        <f t="shared" si="34"/>
        <v>19.24674877695012</v>
      </c>
      <c r="AA107" s="11">
        <f t="shared" si="55"/>
        <v>4.2456425006760581</v>
      </c>
      <c r="AB107" s="20">
        <f t="shared" si="35"/>
        <v>56.641345231949259</v>
      </c>
      <c r="AC107" s="11">
        <f t="shared" si="36"/>
        <v>6.4483614819185284</v>
      </c>
      <c r="AD107" s="11">
        <f t="shared" si="37"/>
        <v>0.92435528677139411</v>
      </c>
      <c r="AE107" s="11">
        <f t="shared" si="38"/>
        <v>0.78668535044373966</v>
      </c>
      <c r="AF107" s="11">
        <f t="shared" si="39"/>
        <v>3.7318386311674905</v>
      </c>
      <c r="AG107" s="11">
        <f t="shared" si="40"/>
        <v>19.074661356540553</v>
      </c>
      <c r="AH107" s="11">
        <f t="shared" si="41"/>
        <v>5.7772205423212135</v>
      </c>
      <c r="AI107" s="11">
        <f t="shared" si="42"/>
        <v>1.2931140447918972</v>
      </c>
      <c r="AJ107" s="11">
        <f t="shared" si="43"/>
        <v>5.110996386164171</v>
      </c>
      <c r="AK107" s="11">
        <f t="shared" si="44"/>
        <v>0.3417164490989994</v>
      </c>
      <c r="AL107" s="11">
        <f t="shared" si="45"/>
        <v>1.8487105735427882</v>
      </c>
      <c r="AM107" s="11">
        <f t="shared" si="46"/>
        <v>1.947046242348256</v>
      </c>
      <c r="AO107" s="11">
        <f t="shared" si="47"/>
        <v>86.668513231346139</v>
      </c>
      <c r="AP107" s="11">
        <f t="shared" si="48"/>
        <v>97.647319123829192</v>
      </c>
      <c r="AQ107" s="11">
        <f t="shared" si="49"/>
        <v>47.284706345109036</v>
      </c>
      <c r="AS107" s="1">
        <v>960</v>
      </c>
      <c r="AT107" s="1">
        <v>706</v>
      </c>
      <c r="AU107" s="1">
        <v>957</v>
      </c>
      <c r="AV107" s="7">
        <v>2684</v>
      </c>
      <c r="AX107" s="23">
        <f t="shared" si="50"/>
        <v>1.7110406372151337</v>
      </c>
      <c r="AY107" s="23">
        <f t="shared" si="51"/>
        <v>2.1904270226417877</v>
      </c>
      <c r="AZ107" s="23">
        <f t="shared" si="52"/>
        <v>33.672591390712199</v>
      </c>
    </row>
    <row r="108" spans="1:52" x14ac:dyDescent="0.25">
      <c r="A108" s="4">
        <v>2003</v>
      </c>
      <c r="C108" s="15">
        <v>7500</v>
      </c>
      <c r="D108" s="7">
        <v>48596</v>
      </c>
      <c r="E108" s="7">
        <v>40817</v>
      </c>
      <c r="F108" s="7">
        <v>5340</v>
      </c>
      <c r="G108" s="7">
        <v>1640</v>
      </c>
      <c r="H108" s="7">
        <v>7887</v>
      </c>
      <c r="I108" s="7">
        <f t="shared" si="53"/>
        <v>1855</v>
      </c>
      <c r="J108" s="18">
        <f t="shared" si="27"/>
        <v>23139</v>
      </c>
      <c r="K108" s="7">
        <f t="shared" si="54"/>
        <v>2628</v>
      </c>
      <c r="L108" s="7">
        <v>391</v>
      </c>
      <c r="M108" s="7">
        <v>290</v>
      </c>
      <c r="N108" s="7">
        <v>1497</v>
      </c>
      <c r="O108" s="7">
        <v>7781</v>
      </c>
      <c r="P108" s="7">
        <v>2416</v>
      </c>
      <c r="Q108" s="7">
        <v>527</v>
      </c>
      <c r="R108" s="7">
        <v>2060</v>
      </c>
      <c r="S108" s="7">
        <v>127</v>
      </c>
      <c r="T108" s="7">
        <v>783</v>
      </c>
      <c r="U108" s="7">
        <v>606</v>
      </c>
      <c r="W108" s="21">
        <f t="shared" si="31"/>
        <v>100</v>
      </c>
      <c r="X108" s="11">
        <f t="shared" si="32"/>
        <v>13.082784134061786</v>
      </c>
      <c r="Y108" s="11">
        <f t="shared" si="33"/>
        <v>4.0179337040938821</v>
      </c>
      <c r="Z108" s="11">
        <f t="shared" si="34"/>
        <v>19.322831173285639</v>
      </c>
      <c r="AA108" s="11">
        <f t="shared" si="55"/>
        <v>4.5446750128622879</v>
      </c>
      <c r="AB108" s="20">
        <f t="shared" si="35"/>
        <v>56.68961462135875</v>
      </c>
      <c r="AC108" s="11">
        <f t="shared" si="36"/>
        <v>6.4384937648528799</v>
      </c>
      <c r="AD108" s="11">
        <f t="shared" si="37"/>
        <v>0.95793419408579761</v>
      </c>
      <c r="AE108" s="11">
        <f t="shared" si="38"/>
        <v>0.71048827694343042</v>
      </c>
      <c r="AF108" s="11">
        <f t="shared" si="39"/>
        <v>3.6675894847735013</v>
      </c>
      <c r="AG108" s="11">
        <f t="shared" si="40"/>
        <v>19.063135458264938</v>
      </c>
      <c r="AH108" s="11">
        <f t="shared" si="41"/>
        <v>5.9191023348114751</v>
      </c>
      <c r="AI108" s="11">
        <f t="shared" si="42"/>
        <v>1.2911286963765098</v>
      </c>
      <c r="AJ108" s="11">
        <f t="shared" si="43"/>
        <v>5.0469167258740235</v>
      </c>
      <c r="AK108" s="11">
        <f t="shared" si="44"/>
        <v>0.31114486610970915</v>
      </c>
      <c r="AL108" s="11">
        <f t="shared" si="45"/>
        <v>1.9183183477472623</v>
      </c>
      <c r="AM108" s="11">
        <f t="shared" si="46"/>
        <v>1.4846755028542029</v>
      </c>
      <c r="AO108" s="11">
        <f t="shared" si="47"/>
        <v>83.992509671577906</v>
      </c>
      <c r="AP108" s="11">
        <f t="shared" si="48"/>
        <v>97.657838645662338</v>
      </c>
      <c r="AQ108" s="11">
        <f t="shared" si="49"/>
        <v>46.808927652693733</v>
      </c>
      <c r="AS108" s="1">
        <v>965</v>
      </c>
      <c r="AT108" s="1">
        <v>707</v>
      </c>
      <c r="AU108" s="1">
        <v>956</v>
      </c>
      <c r="AV108" s="7">
        <v>2811</v>
      </c>
      <c r="AX108" s="23">
        <f t="shared" si="50"/>
        <v>1.6684224710292281</v>
      </c>
      <c r="AY108" s="23">
        <f t="shared" si="51"/>
        <v>2.2294632138569712</v>
      </c>
      <c r="AZ108" s="23">
        <f t="shared" si="52"/>
        <v>33.973589435774308</v>
      </c>
    </row>
    <row r="109" spans="1:52" x14ac:dyDescent="0.25">
      <c r="A109" s="4">
        <v>2004</v>
      </c>
      <c r="C109" s="15">
        <v>7500</v>
      </c>
      <c r="D109" s="7">
        <v>52287</v>
      </c>
      <c r="E109" s="7">
        <v>43395</v>
      </c>
      <c r="F109" s="7">
        <v>5781</v>
      </c>
      <c r="G109" s="7">
        <v>1816</v>
      </c>
      <c r="H109" s="7">
        <v>7998</v>
      </c>
      <c r="I109" s="7">
        <f t="shared" si="53"/>
        <v>1937</v>
      </c>
      <c r="J109" s="18">
        <f t="shared" si="27"/>
        <v>24873</v>
      </c>
      <c r="K109" s="7">
        <f t="shared" si="54"/>
        <v>2740</v>
      </c>
      <c r="L109" s="7">
        <v>459</v>
      </c>
      <c r="M109" s="7">
        <v>288</v>
      </c>
      <c r="N109" s="7">
        <v>1646</v>
      </c>
      <c r="O109" s="7">
        <v>7801</v>
      </c>
      <c r="P109" s="7">
        <v>2574</v>
      </c>
      <c r="Q109" s="7">
        <v>581</v>
      </c>
      <c r="R109" s="7">
        <v>2218</v>
      </c>
      <c r="S109" s="7">
        <v>130</v>
      </c>
      <c r="T109" s="7">
        <v>905</v>
      </c>
      <c r="U109" s="7">
        <v>690</v>
      </c>
      <c r="W109" s="21">
        <f t="shared" si="31"/>
        <v>100</v>
      </c>
      <c r="X109" s="11">
        <f t="shared" si="32"/>
        <v>13.321811268579328</v>
      </c>
      <c r="Y109" s="11">
        <f t="shared" si="33"/>
        <v>4.1848139186542221</v>
      </c>
      <c r="Z109" s="11">
        <f t="shared" si="34"/>
        <v>18.430694780504666</v>
      </c>
      <c r="AA109" s="11">
        <f t="shared" si="55"/>
        <v>4.4636478857011177</v>
      </c>
      <c r="AB109" s="20">
        <f t="shared" si="35"/>
        <v>57.317663325267887</v>
      </c>
      <c r="AC109" s="11">
        <f t="shared" si="36"/>
        <v>6.3140914851941465</v>
      </c>
      <c r="AD109" s="11">
        <f t="shared" si="37"/>
        <v>1.0577255444175597</v>
      </c>
      <c r="AE109" s="11">
        <f t="shared" si="38"/>
        <v>0.6636709298306257</v>
      </c>
      <c r="AF109" s="11">
        <f t="shared" si="39"/>
        <v>3.7930637170180894</v>
      </c>
      <c r="AG109" s="11">
        <f t="shared" si="40"/>
        <v>17.976725429196915</v>
      </c>
      <c r="AH109" s="11">
        <f t="shared" si="41"/>
        <v>5.9315589353612168</v>
      </c>
      <c r="AI109" s="11">
        <f t="shared" si="42"/>
        <v>1.3388639244152551</v>
      </c>
      <c r="AJ109" s="11">
        <f t="shared" si="43"/>
        <v>5.1111879248761376</v>
      </c>
      <c r="AK109" s="11">
        <f t="shared" si="44"/>
        <v>0.29957368360410186</v>
      </c>
      <c r="AL109" s="11">
        <f t="shared" si="45"/>
        <v>2.0854937204747093</v>
      </c>
      <c r="AM109" s="11">
        <f t="shared" si="46"/>
        <v>1.5900449360525406</v>
      </c>
      <c r="AO109" s="11">
        <f t="shared" si="47"/>
        <v>82.993860806701463</v>
      </c>
      <c r="AP109" s="11">
        <f t="shared" si="48"/>
        <v>97.718631178707227</v>
      </c>
      <c r="AQ109" s="11">
        <f t="shared" si="49"/>
        <v>46.162000230441301</v>
      </c>
      <c r="AS109" s="1">
        <v>997</v>
      </c>
      <c r="AT109" s="1">
        <v>753</v>
      </c>
      <c r="AU109" s="1">
        <v>990</v>
      </c>
      <c r="AV109" s="7">
        <v>2927</v>
      </c>
      <c r="AX109" s="23">
        <f t="shared" si="50"/>
        <v>1.7213964742481855</v>
      </c>
      <c r="AY109" s="23">
        <f t="shared" si="51"/>
        <v>2.3850674040788111</v>
      </c>
      <c r="AZ109" s="23">
        <f t="shared" si="52"/>
        <v>33.001497868418021</v>
      </c>
    </row>
    <row r="110" spans="1:52" x14ac:dyDescent="0.25">
      <c r="A110" s="4">
        <v>2005</v>
      </c>
      <c r="C110" s="15">
        <v>7500</v>
      </c>
      <c r="D110" s="7">
        <v>56304</v>
      </c>
      <c r="E110" s="7">
        <v>46409</v>
      </c>
      <c r="F110" s="7">
        <v>5931</v>
      </c>
      <c r="G110" s="7">
        <v>1886</v>
      </c>
      <c r="H110" s="7">
        <v>8805</v>
      </c>
      <c r="I110" s="7">
        <f t="shared" si="53"/>
        <v>2135</v>
      </c>
      <c r="J110" s="18">
        <f t="shared" si="27"/>
        <v>26604</v>
      </c>
      <c r="K110" s="7">
        <f t="shared" si="54"/>
        <v>2950</v>
      </c>
      <c r="L110" s="7">
        <v>426</v>
      </c>
      <c r="M110" s="7">
        <v>319</v>
      </c>
      <c r="N110" s="7">
        <v>1767</v>
      </c>
      <c r="O110" s="7">
        <v>8344</v>
      </c>
      <c r="P110" s="7">
        <v>2664</v>
      </c>
      <c r="Q110" s="7">
        <v>541</v>
      </c>
      <c r="R110" s="7">
        <v>2388</v>
      </c>
      <c r="S110" s="7">
        <v>126</v>
      </c>
      <c r="T110" s="7">
        <v>940</v>
      </c>
      <c r="U110" s="7">
        <v>808</v>
      </c>
      <c r="W110" s="21">
        <f t="shared" si="31"/>
        <v>100</v>
      </c>
      <c r="X110" s="11">
        <f t="shared" si="32"/>
        <v>12.779848736236508</v>
      </c>
      <c r="Y110" s="11">
        <f t="shared" si="33"/>
        <v>4.0638669223641966</v>
      </c>
      <c r="Z110" s="11">
        <f t="shared" si="34"/>
        <v>18.972613070740589</v>
      </c>
      <c r="AA110" s="11">
        <f t="shared" si="55"/>
        <v>4.6004007843306258</v>
      </c>
      <c r="AB110" s="20">
        <f t="shared" si="35"/>
        <v>57.325087806244483</v>
      </c>
      <c r="AC110" s="11">
        <f t="shared" si="36"/>
        <v>6.3565256738994584</v>
      </c>
      <c r="AD110" s="11">
        <f t="shared" si="37"/>
        <v>0.91792540240039655</v>
      </c>
      <c r="AE110" s="11">
        <f t="shared" si="38"/>
        <v>0.68736667456743306</v>
      </c>
      <c r="AF110" s="11">
        <f t="shared" si="39"/>
        <v>3.8074511409424896</v>
      </c>
      <c r="AG110" s="11">
        <f t="shared" si="40"/>
        <v>17.979271262039688</v>
      </c>
      <c r="AH110" s="11">
        <f t="shared" si="41"/>
        <v>5.7402658967010707</v>
      </c>
      <c r="AI110" s="11">
        <f t="shared" si="42"/>
        <v>1.1657221659591888</v>
      </c>
      <c r="AJ110" s="11">
        <f t="shared" si="43"/>
        <v>5.1455536641599693</v>
      </c>
      <c r="AK110" s="11">
        <f t="shared" si="44"/>
        <v>0.2714990626818074</v>
      </c>
      <c r="AL110" s="11">
        <f t="shared" si="45"/>
        <v>2.0254691977849122</v>
      </c>
      <c r="AM110" s="11">
        <f t="shared" si="46"/>
        <v>1.7410416083087334</v>
      </c>
      <c r="AO110" s="11">
        <f t="shared" si="47"/>
        <v>82.425760159136118</v>
      </c>
      <c r="AP110" s="11">
        <f t="shared" si="48"/>
        <v>97.741817319916407</v>
      </c>
      <c r="AQ110" s="11">
        <f t="shared" si="49"/>
        <v>45.838091749445148</v>
      </c>
      <c r="AS110" s="1">
        <v>1101</v>
      </c>
      <c r="AT110" s="1">
        <v>801</v>
      </c>
      <c r="AU110" s="1">
        <v>1048</v>
      </c>
      <c r="AV110" s="7">
        <v>3183</v>
      </c>
      <c r="AX110" s="23">
        <f t="shared" si="50"/>
        <v>1.6052920769678296</v>
      </c>
      <c r="AY110" s="23">
        <f t="shared" si="51"/>
        <v>2.2969682604667194</v>
      </c>
      <c r="AZ110" s="23">
        <f t="shared" si="52"/>
        <v>33.736990669913162</v>
      </c>
    </row>
    <row r="111" spans="1:52" x14ac:dyDescent="0.25">
      <c r="A111" s="4">
        <v>2006</v>
      </c>
      <c r="C111" s="15">
        <v>7000</v>
      </c>
      <c r="D111" s="7">
        <v>58101</v>
      </c>
      <c r="E111" s="7">
        <v>48398</v>
      </c>
      <c r="F111" s="7">
        <v>6111</v>
      </c>
      <c r="G111" s="7">
        <v>1874</v>
      </c>
      <c r="H111" s="7">
        <v>9673</v>
      </c>
      <c r="I111" s="7">
        <f t="shared" si="53"/>
        <v>2310</v>
      </c>
      <c r="J111" s="18">
        <f t="shared" si="27"/>
        <v>27343</v>
      </c>
      <c r="K111" s="7">
        <f t="shared" si="54"/>
        <v>3150</v>
      </c>
      <c r="L111" s="7">
        <v>497</v>
      </c>
      <c r="M111" s="7">
        <v>327</v>
      </c>
      <c r="N111" s="7">
        <v>1708</v>
      </c>
      <c r="O111" s="7">
        <v>8508</v>
      </c>
      <c r="P111" s="7">
        <v>2766</v>
      </c>
      <c r="Q111" s="7">
        <v>585</v>
      </c>
      <c r="R111" s="7">
        <v>2376</v>
      </c>
      <c r="S111" s="7">
        <v>117</v>
      </c>
      <c r="T111" s="7">
        <v>888</v>
      </c>
      <c r="U111" s="7">
        <v>846</v>
      </c>
      <c r="W111" s="21">
        <f t="shared" si="31"/>
        <v>100</v>
      </c>
      <c r="X111" s="11">
        <f t="shared" si="32"/>
        <v>12.626554816314725</v>
      </c>
      <c r="Y111" s="11">
        <f t="shared" si="33"/>
        <v>3.8720608289598744</v>
      </c>
      <c r="Z111" s="11">
        <f t="shared" si="34"/>
        <v>19.98636307285425</v>
      </c>
      <c r="AA111" s="11">
        <f t="shared" si="55"/>
        <v>4.7729245010124384</v>
      </c>
      <c r="AB111" s="20">
        <f t="shared" si="35"/>
        <v>56.496136203975368</v>
      </c>
      <c r="AC111" s="11">
        <f t="shared" si="36"/>
        <v>6.5085334104715065</v>
      </c>
      <c r="AD111" s="11">
        <f t="shared" si="37"/>
        <v>1.0269019380966156</v>
      </c>
      <c r="AE111" s="11">
        <f t="shared" si="38"/>
        <v>0.67564775403942312</v>
      </c>
      <c r="AF111" s="11">
        <f t="shared" si="39"/>
        <v>3.5290714492334398</v>
      </c>
      <c r="AG111" s="11">
        <f t="shared" si="40"/>
        <v>17.579238811521137</v>
      </c>
      <c r="AH111" s="11">
        <f t="shared" si="41"/>
        <v>5.71511219471879</v>
      </c>
      <c r="AI111" s="11">
        <f t="shared" si="42"/>
        <v>1.2087276333732799</v>
      </c>
      <c r="AJ111" s="11">
        <f t="shared" si="43"/>
        <v>4.9092937724699368</v>
      </c>
      <c r="AK111" s="11">
        <f t="shared" si="44"/>
        <v>0.24174552667465599</v>
      </c>
      <c r="AL111" s="11">
        <f t="shared" si="45"/>
        <v>1.8347865614281582</v>
      </c>
      <c r="AM111" s="11">
        <f t="shared" si="46"/>
        <v>1.7480061159552047</v>
      </c>
      <c r="AO111" s="11">
        <f t="shared" si="47"/>
        <v>83.299771088277311</v>
      </c>
      <c r="AP111" s="11">
        <f t="shared" si="48"/>
        <v>97.754039423116652</v>
      </c>
      <c r="AQ111" s="11">
        <f t="shared" si="49"/>
        <v>44.977065167982147</v>
      </c>
      <c r="AS111" s="1">
        <v>1115</v>
      </c>
      <c r="AT111" s="1">
        <v>948</v>
      </c>
      <c r="AU111" s="1">
        <v>1087</v>
      </c>
      <c r="AV111" s="7">
        <v>3397</v>
      </c>
      <c r="AX111" s="23">
        <f t="shared" si="50"/>
        <v>1.7025496921360386</v>
      </c>
      <c r="AY111" s="23">
        <f t="shared" si="51"/>
        <v>2.0765320881028142</v>
      </c>
      <c r="AZ111" s="23">
        <f t="shared" si="52"/>
        <v>34.796892433571635</v>
      </c>
    </row>
    <row r="112" spans="1:52" x14ac:dyDescent="0.25">
      <c r="A112" s="4">
        <v>2007</v>
      </c>
      <c r="C112" s="15">
        <v>7000</v>
      </c>
      <c r="D112" s="7">
        <v>60858</v>
      </c>
      <c r="E112" s="7">
        <v>49638</v>
      </c>
      <c r="F112" s="7">
        <v>6133</v>
      </c>
      <c r="G112" s="7">
        <v>1881</v>
      </c>
      <c r="H112" s="7">
        <v>10023</v>
      </c>
      <c r="I112" s="7">
        <f t="shared" si="53"/>
        <v>2367</v>
      </c>
      <c r="J112" s="18">
        <f t="shared" si="27"/>
        <v>28124</v>
      </c>
      <c r="K112" s="7">
        <f t="shared" si="54"/>
        <v>3225</v>
      </c>
      <c r="L112" s="7">
        <v>457</v>
      </c>
      <c r="M112" s="7">
        <v>323</v>
      </c>
      <c r="N112" s="7">
        <v>1797</v>
      </c>
      <c r="O112" s="7">
        <v>8758</v>
      </c>
      <c r="P112" s="7">
        <v>2853</v>
      </c>
      <c r="Q112" s="7">
        <v>588</v>
      </c>
      <c r="R112" s="7">
        <v>2698</v>
      </c>
      <c r="S112" s="7">
        <v>118</v>
      </c>
      <c r="T112" s="7">
        <v>945</v>
      </c>
      <c r="U112" s="7">
        <v>808</v>
      </c>
      <c r="W112" s="21">
        <f t="shared" si="31"/>
        <v>100</v>
      </c>
      <c r="X112" s="11">
        <f t="shared" si="32"/>
        <v>12.355453483218502</v>
      </c>
      <c r="Y112" s="11">
        <f t="shared" si="33"/>
        <v>3.789435513114952</v>
      </c>
      <c r="Z112" s="11">
        <f t="shared" si="34"/>
        <v>20.192191466215402</v>
      </c>
      <c r="AA112" s="11">
        <f t="shared" si="55"/>
        <v>4.7685241145896295</v>
      </c>
      <c r="AB112" s="20">
        <f t="shared" si="35"/>
        <v>56.658205407147754</v>
      </c>
      <c r="AC112" s="11">
        <f t="shared" si="36"/>
        <v>6.497038559168379</v>
      </c>
      <c r="AD112" s="11">
        <f t="shared" si="37"/>
        <v>0.92066561908215483</v>
      </c>
      <c r="AE112" s="11">
        <f t="shared" si="38"/>
        <v>0.65071114871670899</v>
      </c>
      <c r="AF112" s="11">
        <f t="shared" si="39"/>
        <v>3.6202103227366131</v>
      </c>
      <c r="AG112" s="11">
        <f t="shared" si="40"/>
        <v>17.643740682541601</v>
      </c>
      <c r="AH112" s="11">
        <f t="shared" si="41"/>
        <v>5.7476127160643058</v>
      </c>
      <c r="AI112" s="11">
        <f t="shared" si="42"/>
        <v>1.1845763326483743</v>
      </c>
      <c r="AJ112" s="11">
        <f t="shared" si="43"/>
        <v>5.4353519481042749</v>
      </c>
      <c r="AK112" s="11">
        <f t="shared" si="44"/>
        <v>0.2377211007695717</v>
      </c>
      <c r="AL112" s="11">
        <f t="shared" si="45"/>
        <v>1.9037833917563158</v>
      </c>
      <c r="AM112" s="11">
        <f t="shared" si="46"/>
        <v>1.6277851645916435</v>
      </c>
      <c r="AO112" s="11">
        <f t="shared" si="47"/>
        <v>81.563639948733112</v>
      </c>
      <c r="AP112" s="11">
        <f t="shared" si="48"/>
        <v>97.76380998428624</v>
      </c>
      <c r="AQ112" s="11">
        <f t="shared" si="49"/>
        <v>45.469196986179938</v>
      </c>
      <c r="AS112" s="1">
        <v>1131</v>
      </c>
      <c r="AT112" s="1">
        <v>984</v>
      </c>
      <c r="AU112" s="1">
        <v>1110</v>
      </c>
      <c r="AV112" s="7">
        <v>3477</v>
      </c>
      <c r="AX112" s="23">
        <f t="shared" si="50"/>
        <v>1.5713767677988639</v>
      </c>
      <c r="AY112" s="23">
        <f t="shared" si="51"/>
        <v>2.1415044925258875</v>
      </c>
      <c r="AZ112" s="23">
        <f t="shared" si="52"/>
        <v>35.077964462710021</v>
      </c>
    </row>
    <row r="113" spans="1:52" x14ac:dyDescent="0.25">
      <c r="A113" s="4">
        <v>2008</v>
      </c>
      <c r="C113" s="15">
        <v>7000</v>
      </c>
      <c r="D113" s="7">
        <v>61774</v>
      </c>
      <c r="E113" s="7">
        <v>50486</v>
      </c>
      <c r="F113" s="7">
        <v>6443</v>
      </c>
      <c r="G113" s="7">
        <v>1801</v>
      </c>
      <c r="H113" s="7">
        <v>10183</v>
      </c>
      <c r="I113" s="7">
        <f t="shared" si="53"/>
        <v>2522</v>
      </c>
      <c r="J113" s="18">
        <f t="shared" si="27"/>
        <v>28410</v>
      </c>
      <c r="K113" s="7">
        <f t="shared" si="54"/>
        <v>3301</v>
      </c>
      <c r="L113" s="7">
        <v>444</v>
      </c>
      <c r="M113" s="7">
        <v>317</v>
      </c>
      <c r="N113" s="7">
        <v>1624</v>
      </c>
      <c r="O113" s="7">
        <v>8604</v>
      </c>
      <c r="P113" s="7">
        <v>2976</v>
      </c>
      <c r="Q113" s="7">
        <v>616</v>
      </c>
      <c r="R113" s="7">
        <v>2835</v>
      </c>
      <c r="S113" s="7">
        <v>116</v>
      </c>
      <c r="T113" s="7">
        <v>1046</v>
      </c>
      <c r="U113" s="7">
        <v>840</v>
      </c>
      <c r="W113" s="21">
        <f t="shared" si="31"/>
        <v>100</v>
      </c>
      <c r="X113" s="11">
        <f t="shared" si="32"/>
        <v>12.761953808976745</v>
      </c>
      <c r="Y113" s="11">
        <f t="shared" si="33"/>
        <v>3.5673255952145149</v>
      </c>
      <c r="Z113" s="11">
        <f t="shared" si="34"/>
        <v>20.169948104424989</v>
      </c>
      <c r="AA113" s="11">
        <f t="shared" si="55"/>
        <v>4.9954442815830138</v>
      </c>
      <c r="AB113" s="20">
        <f t="shared" si="35"/>
        <v>56.273026185477157</v>
      </c>
      <c r="AC113" s="11">
        <f t="shared" si="36"/>
        <v>6.5384463019450934</v>
      </c>
      <c r="AD113" s="11">
        <f t="shared" si="37"/>
        <v>0.87945172919225134</v>
      </c>
      <c r="AE113" s="11">
        <f t="shared" si="38"/>
        <v>0.62789684268906232</v>
      </c>
      <c r="AF113" s="11">
        <f t="shared" si="39"/>
        <v>3.2167333518203063</v>
      </c>
      <c r="AG113" s="11">
        <f t="shared" si="40"/>
        <v>17.0423483738066</v>
      </c>
      <c r="AH113" s="11">
        <f t="shared" si="41"/>
        <v>5.8947034821534681</v>
      </c>
      <c r="AI113" s="11">
        <f t="shared" si="42"/>
        <v>1.2201402368973577</v>
      </c>
      <c r="AJ113" s="11">
        <f t="shared" si="43"/>
        <v>5.6154181357207937</v>
      </c>
      <c r="AK113" s="11">
        <f t="shared" si="44"/>
        <v>0.22976666798716475</v>
      </c>
      <c r="AL113" s="11">
        <f t="shared" si="45"/>
        <v>2.0718615061601238</v>
      </c>
      <c r="AM113" s="11">
        <f t="shared" si="46"/>
        <v>1.663827595769124</v>
      </c>
      <c r="AO113" s="11">
        <f t="shared" si="47"/>
        <v>81.726940136627064</v>
      </c>
      <c r="AP113" s="11">
        <f t="shared" si="48"/>
        <v>97.767697975676413</v>
      </c>
      <c r="AQ113" s="11">
        <f t="shared" si="49"/>
        <v>45.000594224141345</v>
      </c>
      <c r="AS113" s="1">
        <v>1176</v>
      </c>
      <c r="AT113" s="1">
        <v>998</v>
      </c>
      <c r="AU113" s="1">
        <v>1127</v>
      </c>
      <c r="AV113" s="7">
        <v>3649</v>
      </c>
      <c r="AX113" s="23">
        <f t="shared" si="50"/>
        <v>1.5073485718813138</v>
      </c>
      <c r="AY113" s="23">
        <f t="shared" si="51"/>
        <v>2.3016281741472886</v>
      </c>
      <c r="AZ113" s="23">
        <f t="shared" si="52"/>
        <v>34.920572039773404</v>
      </c>
    </row>
    <row r="114" spans="1:52" x14ac:dyDescent="0.25">
      <c r="A114" s="4">
        <v>2009</v>
      </c>
      <c r="C114" s="15">
        <v>7000</v>
      </c>
      <c r="D114" s="7">
        <v>60753</v>
      </c>
      <c r="E114" s="7">
        <v>49067</v>
      </c>
      <c r="F114" s="7">
        <v>6372</v>
      </c>
      <c r="G114" s="7">
        <v>1725</v>
      </c>
      <c r="H114" s="7">
        <v>10075</v>
      </c>
      <c r="I114" s="7">
        <f t="shared" si="53"/>
        <v>2483</v>
      </c>
      <c r="J114" s="18">
        <f t="shared" si="27"/>
        <v>27250</v>
      </c>
      <c r="K114" s="7">
        <f t="shared" si="54"/>
        <v>3311</v>
      </c>
      <c r="L114" s="7">
        <v>435</v>
      </c>
      <c r="M114" s="7">
        <v>380</v>
      </c>
      <c r="N114" s="7">
        <v>1506</v>
      </c>
      <c r="O114" s="7">
        <v>7658</v>
      </c>
      <c r="P114" s="7">
        <v>3126</v>
      </c>
      <c r="Q114" s="7">
        <v>596</v>
      </c>
      <c r="R114" s="7">
        <v>2693</v>
      </c>
      <c r="S114" s="7">
        <v>110</v>
      </c>
      <c r="T114" s="7">
        <v>1068</v>
      </c>
      <c r="U114" s="7">
        <v>816</v>
      </c>
      <c r="W114" s="21">
        <f t="shared" si="31"/>
        <v>100</v>
      </c>
      <c r="X114" s="11">
        <f t="shared" si="32"/>
        <v>12.986324821162901</v>
      </c>
      <c r="Y114" s="11">
        <f t="shared" si="33"/>
        <v>3.515601116840239</v>
      </c>
      <c r="Z114" s="11">
        <f t="shared" si="34"/>
        <v>20.533148551979945</v>
      </c>
      <c r="AA114" s="11">
        <f t="shared" si="55"/>
        <v>5.0604275786169932</v>
      </c>
      <c r="AB114" s="20">
        <f t="shared" si="35"/>
        <v>55.536307497911018</v>
      </c>
      <c r="AC114" s="11">
        <f t="shared" si="36"/>
        <v>6.7479161147003071</v>
      </c>
      <c r="AD114" s="11">
        <f t="shared" si="37"/>
        <v>0.88654289033362543</v>
      </c>
      <c r="AE114" s="11">
        <f t="shared" si="38"/>
        <v>0.77445126052132796</v>
      </c>
      <c r="AF114" s="11">
        <f t="shared" si="39"/>
        <v>3.0692726272239996</v>
      </c>
      <c r="AG114" s="11">
        <f t="shared" si="40"/>
        <v>15.60723092913771</v>
      </c>
      <c r="AH114" s="11">
        <f t="shared" si="41"/>
        <v>6.3708806326043979</v>
      </c>
      <c r="AI114" s="11">
        <f t="shared" si="42"/>
        <v>1.2146656612387146</v>
      </c>
      <c r="AJ114" s="11">
        <f t="shared" si="43"/>
        <v>5.4884138015366739</v>
      </c>
      <c r="AK114" s="11">
        <f t="shared" si="44"/>
        <v>0.22418325962459493</v>
      </c>
      <c r="AL114" s="11">
        <f t="shared" si="45"/>
        <v>2.1766156479915217</v>
      </c>
      <c r="AM114" s="11">
        <f t="shared" si="46"/>
        <v>1.6630321804879042</v>
      </c>
      <c r="AO114" s="11">
        <f t="shared" si="47"/>
        <v>80.76473589781574</v>
      </c>
      <c r="AP114" s="11">
        <f t="shared" si="48"/>
        <v>97.631809566511095</v>
      </c>
      <c r="AQ114" s="11">
        <f t="shared" si="49"/>
        <v>44.223205005400771</v>
      </c>
      <c r="AS114" s="1">
        <v>1138</v>
      </c>
      <c r="AT114" s="1">
        <v>1011</v>
      </c>
      <c r="AU114" s="1">
        <v>1162</v>
      </c>
      <c r="AV114" s="7">
        <v>3645</v>
      </c>
      <c r="AX114" s="23">
        <f t="shared" si="50"/>
        <v>1.6609941508549535</v>
      </c>
      <c r="AY114" s="23">
        <f t="shared" si="51"/>
        <v>2.4007989076161165</v>
      </c>
      <c r="AZ114" s="23">
        <f t="shared" si="52"/>
        <v>35.410764872521248</v>
      </c>
    </row>
    <row r="115" spans="1:52" x14ac:dyDescent="0.25">
      <c r="A115" s="4">
        <v>2010</v>
      </c>
      <c r="C115" s="15">
        <v>7000</v>
      </c>
      <c r="D115" s="7">
        <v>60712</v>
      </c>
      <c r="E115" s="7">
        <v>48109</v>
      </c>
      <c r="F115" s="7">
        <v>6129</v>
      </c>
      <c r="G115" s="7">
        <v>1700</v>
      </c>
      <c r="H115" s="7">
        <v>9812</v>
      </c>
      <c r="I115" s="7">
        <f t="shared" si="53"/>
        <v>2482</v>
      </c>
      <c r="J115" s="18">
        <f t="shared" si="27"/>
        <v>26808</v>
      </c>
      <c r="K115" s="7">
        <f t="shared" si="54"/>
        <v>3297</v>
      </c>
      <c r="L115" s="7">
        <v>412</v>
      </c>
      <c r="M115" s="7">
        <v>362</v>
      </c>
      <c r="N115" s="7">
        <v>1467</v>
      </c>
      <c r="O115" s="7">
        <v>7677</v>
      </c>
      <c r="P115" s="7">
        <v>3157</v>
      </c>
      <c r="Q115" s="7">
        <v>582</v>
      </c>
      <c r="R115" s="7">
        <v>2504</v>
      </c>
      <c r="S115" s="7">
        <v>100</v>
      </c>
      <c r="T115" s="7">
        <v>1074</v>
      </c>
      <c r="U115" s="7">
        <v>849</v>
      </c>
      <c r="W115" s="21">
        <f t="shared" si="31"/>
        <v>100</v>
      </c>
      <c r="X115" s="11">
        <f t="shared" si="32"/>
        <v>12.739819992101269</v>
      </c>
      <c r="Y115" s="11">
        <f t="shared" si="33"/>
        <v>3.5336423538215302</v>
      </c>
      <c r="Z115" s="11">
        <f t="shared" si="34"/>
        <v>20.395352220998149</v>
      </c>
      <c r="AA115" s="11">
        <f t="shared" si="55"/>
        <v>5.1591178365794343</v>
      </c>
      <c r="AB115" s="20">
        <f t="shared" si="35"/>
        <v>55.72346130661623</v>
      </c>
      <c r="AC115" s="11">
        <f t="shared" si="36"/>
        <v>6.8531875532644619</v>
      </c>
      <c r="AD115" s="11">
        <f t="shared" si="37"/>
        <v>0.85638861751439443</v>
      </c>
      <c r="AE115" s="11">
        <f t="shared" si="38"/>
        <v>0.7524579600490553</v>
      </c>
      <c r="AF115" s="11">
        <f t="shared" si="39"/>
        <v>3.0493254900330498</v>
      </c>
      <c r="AG115" s="11">
        <f t="shared" si="40"/>
        <v>15.95751314722817</v>
      </c>
      <c r="AH115" s="11">
        <f t="shared" si="41"/>
        <v>6.5621817123615118</v>
      </c>
      <c r="AI115" s="11">
        <f t="shared" si="42"/>
        <v>1.2097528528965473</v>
      </c>
      <c r="AJ115" s="11">
        <f t="shared" si="43"/>
        <v>5.2048473258641836</v>
      </c>
      <c r="AK115" s="11">
        <f t="shared" si="44"/>
        <v>0.20786131493067828</v>
      </c>
      <c r="AL115" s="11">
        <f t="shared" si="45"/>
        <v>2.2324305223554846</v>
      </c>
      <c r="AM115" s="11">
        <f t="shared" si="46"/>
        <v>1.7647425637614584</v>
      </c>
      <c r="AO115" s="11">
        <f t="shared" si="47"/>
        <v>79.241336144419549</v>
      </c>
      <c r="AP115" s="11">
        <f t="shared" si="48"/>
        <v>97.551393710116599</v>
      </c>
      <c r="AQ115" s="11">
        <f t="shared" si="49"/>
        <v>44.650689060258998</v>
      </c>
      <c r="AS115" s="1">
        <v>1112</v>
      </c>
      <c r="AT115" s="1">
        <v>1007</v>
      </c>
      <c r="AU115" s="1">
        <v>1178</v>
      </c>
      <c r="AV115" s="7">
        <v>3660</v>
      </c>
      <c r="AX115" s="23">
        <f t="shared" si="50"/>
        <v>1.6088465775634497</v>
      </c>
      <c r="AY115" s="23">
        <f t="shared" si="51"/>
        <v>2.4402918372861628</v>
      </c>
      <c r="AZ115" s="23">
        <f t="shared" si="52"/>
        <v>35.456983100875092</v>
      </c>
    </row>
    <row r="116" spans="1:52" x14ac:dyDescent="0.25">
      <c r="A116" s="4">
        <v>2011</v>
      </c>
      <c r="C116" s="15">
        <v>7000</v>
      </c>
      <c r="D116" s="7">
        <v>61673</v>
      </c>
      <c r="E116" s="7">
        <v>49705</v>
      </c>
      <c r="F116" s="7">
        <v>6458</v>
      </c>
      <c r="G116" s="7">
        <v>1740</v>
      </c>
      <c r="H116" s="7">
        <v>9825</v>
      </c>
      <c r="I116" s="7">
        <f t="shared" si="53"/>
        <v>2501</v>
      </c>
      <c r="J116" s="18">
        <f t="shared" si="27"/>
        <v>27955</v>
      </c>
      <c r="K116" s="7">
        <f t="shared" si="54"/>
        <v>3468</v>
      </c>
      <c r="L116" s="7">
        <v>456</v>
      </c>
      <c r="M116" s="7">
        <v>351</v>
      </c>
      <c r="N116" s="7">
        <v>1514</v>
      </c>
      <c r="O116" s="7">
        <v>8293</v>
      </c>
      <c r="P116" s="7">
        <v>3313</v>
      </c>
      <c r="Q116" s="7">
        <v>634</v>
      </c>
      <c r="R116" s="7">
        <v>2572</v>
      </c>
      <c r="S116" s="7">
        <v>115</v>
      </c>
      <c r="T116" s="7">
        <v>1051</v>
      </c>
      <c r="U116" s="7">
        <v>775</v>
      </c>
      <c r="W116" s="21">
        <f t="shared" si="31"/>
        <v>100</v>
      </c>
      <c r="X116" s="11">
        <f t="shared" si="32"/>
        <v>12.992656674378836</v>
      </c>
      <c r="Y116" s="11">
        <f t="shared" si="33"/>
        <v>3.5006538577607889</v>
      </c>
      <c r="Z116" s="11">
        <f t="shared" si="34"/>
        <v>19.76662307614928</v>
      </c>
      <c r="AA116" s="11">
        <f t="shared" si="55"/>
        <v>5.0316869530228345</v>
      </c>
      <c r="AB116" s="20">
        <f t="shared" si="35"/>
        <v>56.241826777990141</v>
      </c>
      <c r="AC116" s="11">
        <f t="shared" si="36"/>
        <v>6.9771652751232276</v>
      </c>
      <c r="AD116" s="11">
        <f t="shared" si="37"/>
        <v>0.91741273513731014</v>
      </c>
      <c r="AE116" s="11">
        <f t="shared" si="38"/>
        <v>0.70616638165174528</v>
      </c>
      <c r="AF116" s="11">
        <f t="shared" si="39"/>
        <v>3.0459712302585253</v>
      </c>
      <c r="AG116" s="11">
        <f t="shared" si="40"/>
        <v>16.684438185293228</v>
      </c>
      <c r="AH116" s="11">
        <f t="shared" si="41"/>
        <v>6.6653254199778686</v>
      </c>
      <c r="AI116" s="11">
        <f t="shared" si="42"/>
        <v>1.2755256010461724</v>
      </c>
      <c r="AJ116" s="11">
        <f t="shared" si="43"/>
        <v>5.17452972537974</v>
      </c>
      <c r="AK116" s="11">
        <f t="shared" si="44"/>
        <v>0.2313650538175234</v>
      </c>
      <c r="AL116" s="11">
        <f t="shared" si="45"/>
        <v>2.1144754048888439</v>
      </c>
      <c r="AM116" s="11">
        <f t="shared" si="46"/>
        <v>1.5591992757267881</v>
      </c>
      <c r="AO116" s="11">
        <f t="shared" si="47"/>
        <v>80.594425437387514</v>
      </c>
      <c r="AP116" s="11">
        <f t="shared" si="48"/>
        <v>97.533447339301887</v>
      </c>
      <c r="AQ116" s="11">
        <f t="shared" si="49"/>
        <v>45.351574288300974</v>
      </c>
      <c r="AS116" s="1">
        <v>1120</v>
      </c>
      <c r="AT116" s="1">
        <v>1122</v>
      </c>
      <c r="AU116" s="1">
        <v>1226</v>
      </c>
      <c r="AV116" s="7">
        <v>3727</v>
      </c>
      <c r="AX116" s="23">
        <f t="shared" si="50"/>
        <v>1.6235791167890554</v>
      </c>
      <c r="AY116" s="23">
        <f t="shared" si="51"/>
        <v>2.3458404587063675</v>
      </c>
      <c r="AZ116" s="23">
        <f t="shared" si="52"/>
        <v>34.821446534553864</v>
      </c>
    </row>
    <row r="117" spans="1:52" x14ac:dyDescent="0.25">
      <c r="A117" s="4">
        <v>2012</v>
      </c>
      <c r="C117" s="15">
        <v>7000</v>
      </c>
      <c r="D117" s="7">
        <v>63370</v>
      </c>
      <c r="E117" s="7">
        <v>51442</v>
      </c>
      <c r="F117" s="7">
        <v>6599</v>
      </c>
      <c r="G117" s="7">
        <v>1736</v>
      </c>
      <c r="H117" s="7">
        <v>9891</v>
      </c>
      <c r="I117" s="7">
        <f t="shared" si="53"/>
        <v>2409</v>
      </c>
      <c r="J117" s="18">
        <f t="shared" si="27"/>
        <v>29568</v>
      </c>
      <c r="K117" s="7">
        <f t="shared" si="54"/>
        <v>3551</v>
      </c>
      <c r="L117" s="7">
        <v>451</v>
      </c>
      <c r="M117" s="7">
        <v>332</v>
      </c>
      <c r="N117" s="7">
        <v>1580</v>
      </c>
      <c r="O117" s="7">
        <v>8998</v>
      </c>
      <c r="P117" s="7">
        <v>3556</v>
      </c>
      <c r="Q117" s="7">
        <v>628</v>
      </c>
      <c r="R117" s="7">
        <v>2605</v>
      </c>
      <c r="S117" s="7">
        <v>109</v>
      </c>
      <c r="T117" s="7">
        <v>1207</v>
      </c>
      <c r="U117" s="7">
        <v>829</v>
      </c>
      <c r="W117" s="21">
        <f t="shared" si="31"/>
        <v>100</v>
      </c>
      <c r="X117" s="11">
        <f t="shared" si="32"/>
        <v>12.828039345282066</v>
      </c>
      <c r="Y117" s="11">
        <f t="shared" si="33"/>
        <v>3.3746743905757945</v>
      </c>
      <c r="Z117" s="11">
        <f t="shared" si="34"/>
        <v>19.227479491466116</v>
      </c>
      <c r="AA117" s="11">
        <f t="shared" si="55"/>
        <v>4.6829438979821933</v>
      </c>
      <c r="AB117" s="20">
        <f t="shared" si="35"/>
        <v>57.478325104000625</v>
      </c>
      <c r="AC117" s="11">
        <f t="shared" si="36"/>
        <v>6.9029197931651174</v>
      </c>
      <c r="AD117" s="11">
        <f t="shared" si="37"/>
        <v>0.87671552427977151</v>
      </c>
      <c r="AE117" s="11">
        <f t="shared" si="38"/>
        <v>0.6453870378290113</v>
      </c>
      <c r="AF117" s="11">
        <f t="shared" si="39"/>
        <v>3.0714202402705961</v>
      </c>
      <c r="AG117" s="11">
        <f t="shared" si="40"/>
        <v>17.491543874654951</v>
      </c>
      <c r="AH117" s="11">
        <f t="shared" si="41"/>
        <v>6.9126394774697717</v>
      </c>
      <c r="AI117" s="11">
        <f t="shared" si="42"/>
        <v>1.2207923486645154</v>
      </c>
      <c r="AJ117" s="11">
        <f t="shared" si="43"/>
        <v>5.0639555227246218</v>
      </c>
      <c r="AK117" s="11">
        <f t="shared" si="44"/>
        <v>0.21188911784145253</v>
      </c>
      <c r="AL117" s="11">
        <f t="shared" si="45"/>
        <v>2.3463317911434238</v>
      </c>
      <c r="AM117" s="11">
        <f t="shared" si="46"/>
        <v>1.6115236577115974</v>
      </c>
      <c r="AO117" s="11">
        <f t="shared" si="47"/>
        <v>81.177213192362316</v>
      </c>
      <c r="AP117" s="11">
        <f t="shared" si="48"/>
        <v>97.591462229306799</v>
      </c>
      <c r="AQ117" s="11">
        <f t="shared" si="49"/>
        <v>46.355118385754835</v>
      </c>
      <c r="AS117" s="1">
        <v>1153</v>
      </c>
      <c r="AT117" s="1">
        <v>1159</v>
      </c>
      <c r="AU117" s="1">
        <v>1239</v>
      </c>
      <c r="AV117" s="7">
        <v>3648</v>
      </c>
      <c r="AX117" s="23">
        <f t="shared" si="50"/>
        <v>1.5221025621087829</v>
      </c>
      <c r="AY117" s="23">
        <f t="shared" si="51"/>
        <v>2.5582209089848762</v>
      </c>
      <c r="AZ117" s="23">
        <f t="shared" si="52"/>
        <v>33.884763422884028</v>
      </c>
    </row>
    <row r="118" spans="1:52" x14ac:dyDescent="0.25">
      <c r="A118" s="4">
        <v>2013</v>
      </c>
      <c r="C118" s="15">
        <v>7000</v>
      </c>
      <c r="D118" s="7">
        <v>56352</v>
      </c>
      <c r="E118" s="7">
        <v>51100</v>
      </c>
      <c r="F118" s="7">
        <v>6602</v>
      </c>
      <c r="G118" s="7">
        <v>1604</v>
      </c>
      <c r="H118" s="7">
        <v>10080</v>
      </c>
      <c r="I118" s="7">
        <f t="shared" si="53"/>
        <v>2466</v>
      </c>
      <c r="J118" s="18">
        <f t="shared" si="27"/>
        <v>29077</v>
      </c>
      <c r="K118" s="7">
        <f t="shared" si="54"/>
        <v>3597</v>
      </c>
      <c r="L118" s="7">
        <v>445</v>
      </c>
      <c r="M118" s="7">
        <v>330</v>
      </c>
      <c r="N118" s="7">
        <v>1542</v>
      </c>
      <c r="O118" s="7">
        <v>9004</v>
      </c>
      <c r="P118" s="7">
        <v>3631</v>
      </c>
      <c r="Q118" s="7">
        <v>608</v>
      </c>
      <c r="R118" s="7">
        <v>2482</v>
      </c>
      <c r="S118" s="7">
        <v>102</v>
      </c>
      <c r="T118" s="7">
        <v>1138</v>
      </c>
      <c r="U118" s="7">
        <v>645</v>
      </c>
      <c r="W118" s="21">
        <f t="shared" si="31"/>
        <v>100</v>
      </c>
      <c r="X118" s="11">
        <f t="shared" si="32"/>
        <v>12.919765166340508</v>
      </c>
      <c r="Y118" s="11">
        <f t="shared" si="33"/>
        <v>3.1389432485322897</v>
      </c>
      <c r="Z118" s="11">
        <f t="shared" si="34"/>
        <v>19.726027397260275</v>
      </c>
      <c r="AA118" s="11">
        <f t="shared" si="55"/>
        <v>4.8258317025440309</v>
      </c>
      <c r="AB118" s="20">
        <f t="shared" si="35"/>
        <v>56.902152641878665</v>
      </c>
      <c r="AC118" s="11">
        <f t="shared" si="36"/>
        <v>7.0391389432485321</v>
      </c>
      <c r="AD118" s="11">
        <f t="shared" si="37"/>
        <v>0.87084148727984334</v>
      </c>
      <c r="AE118" s="11">
        <f t="shared" si="38"/>
        <v>0.64579256360078274</v>
      </c>
      <c r="AF118" s="11">
        <f t="shared" si="39"/>
        <v>3.0176125244618395</v>
      </c>
      <c r="AG118" s="11">
        <f t="shared" si="40"/>
        <v>17.620352250489237</v>
      </c>
      <c r="AH118" s="11">
        <f t="shared" si="41"/>
        <v>7.1056751467710368</v>
      </c>
      <c r="AI118" s="11">
        <f t="shared" si="42"/>
        <v>1.1898238747553815</v>
      </c>
      <c r="AJ118" s="11">
        <f t="shared" si="43"/>
        <v>4.8571428571428568</v>
      </c>
      <c r="AK118" s="11">
        <f t="shared" si="44"/>
        <v>0.19960861056751467</v>
      </c>
      <c r="AL118" s="11">
        <f t="shared" si="45"/>
        <v>2.2270058708414875</v>
      </c>
      <c r="AM118" s="11">
        <f t="shared" si="46"/>
        <v>1.2622309197651664</v>
      </c>
      <c r="AO118" s="11">
        <f t="shared" si="47"/>
        <v>90.680011357183417</v>
      </c>
      <c r="AP118" s="11">
        <f t="shared" si="48"/>
        <v>97.512720156555758</v>
      </c>
      <c r="AQ118" s="11">
        <f t="shared" si="49"/>
        <v>46.035225048923678</v>
      </c>
      <c r="AS118" s="1">
        <v>1182</v>
      </c>
      <c r="AT118" s="1">
        <v>1144</v>
      </c>
      <c r="AU118" s="1">
        <v>1271</v>
      </c>
      <c r="AV118" s="7">
        <v>3737</v>
      </c>
      <c r="AX118" s="23">
        <f t="shared" si="50"/>
        <v>1.5166340508806262</v>
      </c>
      <c r="AY118" s="23">
        <f t="shared" si="51"/>
        <v>2.4266144814090023</v>
      </c>
      <c r="AZ118" s="23">
        <f t="shared" si="52"/>
        <v>34.608610567514674</v>
      </c>
    </row>
    <row r="119" spans="1:52" x14ac:dyDescent="0.25">
      <c r="A119" s="4">
        <v>2014</v>
      </c>
      <c r="C119" s="15">
        <v>7000</v>
      </c>
      <c r="D119" s="7">
        <v>58364</v>
      </c>
      <c r="E119" s="7">
        <v>53495</v>
      </c>
      <c r="F119" s="7">
        <v>6759</v>
      </c>
      <c r="G119" s="7">
        <v>1786</v>
      </c>
      <c r="H119" s="7">
        <v>10491</v>
      </c>
      <c r="I119" s="7">
        <f t="shared" si="53"/>
        <v>2606</v>
      </c>
      <c r="J119" s="18">
        <f t="shared" si="27"/>
        <v>30538</v>
      </c>
      <c r="K119" s="7">
        <f t="shared" si="54"/>
        <v>3782</v>
      </c>
      <c r="L119" s="7">
        <v>463</v>
      </c>
      <c r="M119" s="7">
        <v>319</v>
      </c>
      <c r="N119" s="7">
        <v>1581</v>
      </c>
      <c r="O119" s="7">
        <v>9073</v>
      </c>
      <c r="P119" s="7">
        <v>4290</v>
      </c>
      <c r="Q119" s="7">
        <v>645</v>
      </c>
      <c r="R119" s="7">
        <v>2728</v>
      </c>
      <c r="S119" s="7">
        <v>103</v>
      </c>
      <c r="T119" s="7">
        <v>1236</v>
      </c>
      <c r="U119" s="7">
        <v>782</v>
      </c>
      <c r="W119" s="21">
        <f t="shared" si="31"/>
        <v>100</v>
      </c>
      <c r="X119" s="11">
        <f t="shared" si="32"/>
        <v>12.634825684643424</v>
      </c>
      <c r="Y119" s="11">
        <f t="shared" si="33"/>
        <v>3.3386297784839702</v>
      </c>
      <c r="Z119" s="11">
        <f t="shared" si="34"/>
        <v>19.611178614823814</v>
      </c>
      <c r="AA119" s="11">
        <f t="shared" si="55"/>
        <v>4.871483316197776</v>
      </c>
      <c r="AB119" s="20">
        <f t="shared" si="35"/>
        <v>57.085708944761194</v>
      </c>
      <c r="AC119" s="11">
        <f t="shared" si="36"/>
        <v>7.069819609309282</v>
      </c>
      <c r="AD119" s="11">
        <f t="shared" si="37"/>
        <v>0.86550144873352652</v>
      </c>
      <c r="AE119" s="11">
        <f t="shared" si="38"/>
        <v>0.59631741284232176</v>
      </c>
      <c r="AF119" s="11">
        <f t="shared" si="39"/>
        <v>2.9554163940555189</v>
      </c>
      <c r="AG119" s="11">
        <f t="shared" si="40"/>
        <v>16.960463594728477</v>
      </c>
      <c r="AH119" s="11">
        <f t="shared" si="41"/>
        <v>8.019441069258809</v>
      </c>
      <c r="AI119" s="11">
        <f t="shared" si="42"/>
        <v>1.2057201607626882</v>
      </c>
      <c r="AJ119" s="11">
        <f t="shared" si="43"/>
        <v>5.0995420132722691</v>
      </c>
      <c r="AK119" s="11">
        <f t="shared" si="44"/>
        <v>0.19254135900551453</v>
      </c>
      <c r="AL119" s="11">
        <f t="shared" si="45"/>
        <v>2.3104963080661745</v>
      </c>
      <c r="AM119" s="11">
        <f t="shared" si="46"/>
        <v>1.4618188615758481</v>
      </c>
      <c r="AO119" s="11">
        <f t="shared" si="47"/>
        <v>91.657528613528882</v>
      </c>
      <c r="AP119" s="11">
        <f t="shared" si="48"/>
        <v>97.54182633891017</v>
      </c>
      <c r="AQ119" s="11">
        <f t="shared" si="49"/>
        <v>46.73707823161044</v>
      </c>
      <c r="AS119" s="1">
        <v>1293</v>
      </c>
      <c r="AT119" s="1">
        <v>1174</v>
      </c>
      <c r="AU119" s="1">
        <v>1315</v>
      </c>
      <c r="AV119" s="7">
        <v>3921</v>
      </c>
      <c r="AX119" s="23">
        <f t="shared" si="50"/>
        <v>1.4618188615758483</v>
      </c>
      <c r="AY119" s="23">
        <f t="shared" si="51"/>
        <v>2.503037667071689</v>
      </c>
      <c r="AZ119" s="23">
        <f t="shared" si="52"/>
        <v>34.507897934386392</v>
      </c>
    </row>
    <row r="120" spans="1:52" x14ac:dyDescent="0.25">
      <c r="A120" s="4">
        <v>2015</v>
      </c>
      <c r="C120" s="15">
        <v>7000</v>
      </c>
      <c r="D120" s="7">
        <v>60448</v>
      </c>
      <c r="E120" s="7">
        <v>55978</v>
      </c>
      <c r="F120" s="7">
        <v>7023</v>
      </c>
      <c r="G120" s="7">
        <v>1846</v>
      </c>
      <c r="H120" s="7">
        <v>10742</v>
      </c>
      <c r="I120" s="7">
        <f t="shared" si="53"/>
        <v>2538</v>
      </c>
      <c r="J120" s="18">
        <f t="shared" si="27"/>
        <v>32482</v>
      </c>
      <c r="K120" s="7">
        <f t="shared" si="54"/>
        <v>4094</v>
      </c>
      <c r="L120" s="7">
        <v>515</v>
      </c>
      <c r="M120" s="7">
        <v>349</v>
      </c>
      <c r="N120" s="7">
        <v>1818</v>
      </c>
      <c r="O120" s="7">
        <v>9503</v>
      </c>
      <c r="P120" s="7">
        <v>4342</v>
      </c>
      <c r="Q120" s="7">
        <v>683</v>
      </c>
      <c r="R120" s="7">
        <v>2842</v>
      </c>
      <c r="S120" s="7">
        <v>114</v>
      </c>
      <c r="T120" s="7">
        <v>1315</v>
      </c>
      <c r="U120" s="7">
        <v>871</v>
      </c>
      <c r="W120" s="21">
        <f t="shared" si="31"/>
        <v>100</v>
      </c>
      <c r="X120" s="11">
        <f t="shared" si="32"/>
        <v>12.546000214369931</v>
      </c>
      <c r="Y120" s="11">
        <f t="shared" si="33"/>
        <v>3.2977241058987459</v>
      </c>
      <c r="Z120" s="11">
        <f t="shared" si="34"/>
        <v>19.189681660652401</v>
      </c>
      <c r="AA120" s="11">
        <f t="shared" si="55"/>
        <v>4.5339240415877669</v>
      </c>
      <c r="AB120" s="20">
        <f t="shared" si="35"/>
        <v>58.02636750151845</v>
      </c>
      <c r="AC120" s="11">
        <f t="shared" si="36"/>
        <v>7.3135874807960271</v>
      </c>
      <c r="AD120" s="11">
        <f t="shared" si="37"/>
        <v>0.92000428739862083</v>
      </c>
      <c r="AE120" s="11">
        <f t="shared" si="38"/>
        <v>0.62345921612061883</v>
      </c>
      <c r="AF120" s="11">
        <f t="shared" si="39"/>
        <v>3.2477044553217338</v>
      </c>
      <c r="AG120" s="11">
        <f t="shared" si="40"/>
        <v>16.9763121226196</v>
      </c>
      <c r="AH120" s="11">
        <f t="shared" si="41"/>
        <v>7.7566186716209931</v>
      </c>
      <c r="AI120" s="11">
        <f t="shared" si="42"/>
        <v>1.2201221908606954</v>
      </c>
      <c r="AJ120" s="11">
        <f t="shared" si="43"/>
        <v>5.0769945335667579</v>
      </c>
      <c r="AK120" s="11">
        <f t="shared" si="44"/>
        <v>0.20365143449212189</v>
      </c>
      <c r="AL120" s="11">
        <f t="shared" si="45"/>
        <v>2.3491371610275467</v>
      </c>
      <c r="AM120" s="11">
        <f t="shared" si="46"/>
        <v>1.5559684161634928</v>
      </c>
      <c r="AO120" s="11">
        <f t="shared" si="47"/>
        <v>92.605214399152985</v>
      </c>
      <c r="AP120" s="11">
        <f t="shared" si="48"/>
        <v>97.593697524027291</v>
      </c>
      <c r="AQ120" s="11">
        <f t="shared" si="49"/>
        <v>47.243559969988212</v>
      </c>
      <c r="AS120" s="1">
        <v>1438</v>
      </c>
      <c r="AT120" s="1">
        <v>1309</v>
      </c>
      <c r="AU120" s="1">
        <v>1347</v>
      </c>
      <c r="AV120" s="7">
        <v>3885</v>
      </c>
      <c r="AX120" s="23">
        <f t="shared" si="50"/>
        <v>1.5434635035192397</v>
      </c>
      <c r="AY120" s="23">
        <f t="shared" si="51"/>
        <v>2.5527885955196687</v>
      </c>
      <c r="AZ120" s="23">
        <f t="shared" si="52"/>
        <v>34.284897638357926</v>
      </c>
    </row>
    <row r="121" spans="1:52" x14ac:dyDescent="0.25">
      <c r="A121" s="4">
        <v>2016</v>
      </c>
      <c r="C121" s="15">
        <v>7000</v>
      </c>
      <c r="D121" s="7">
        <v>64175</v>
      </c>
      <c r="E121" s="7">
        <v>57311</v>
      </c>
      <c r="F121" s="7">
        <v>7203</v>
      </c>
      <c r="G121" s="7">
        <v>1803</v>
      </c>
      <c r="H121" s="7">
        <v>11128</v>
      </c>
      <c r="I121" s="7">
        <f t="shared" si="53"/>
        <v>2453</v>
      </c>
      <c r="J121" s="18">
        <f t="shared" si="27"/>
        <v>33293</v>
      </c>
      <c r="K121" s="7">
        <f t="shared" si="54"/>
        <v>4252</v>
      </c>
      <c r="L121" s="7">
        <v>484</v>
      </c>
      <c r="M121" s="7">
        <v>337</v>
      </c>
      <c r="N121" s="7">
        <v>1829</v>
      </c>
      <c r="O121" s="7">
        <v>9049</v>
      </c>
      <c r="P121" s="7">
        <v>4612</v>
      </c>
      <c r="Q121" s="7">
        <v>707</v>
      </c>
      <c r="R121" s="7">
        <v>2913</v>
      </c>
      <c r="S121" s="7">
        <v>118</v>
      </c>
      <c r="T121" s="7">
        <v>1329</v>
      </c>
      <c r="U121" s="7">
        <v>959</v>
      </c>
      <c r="W121" s="21">
        <f t="shared" si="31"/>
        <v>100</v>
      </c>
      <c r="X121" s="11">
        <f t="shared" si="32"/>
        <v>12.568267871787267</v>
      </c>
      <c r="Y121" s="11">
        <f t="shared" si="33"/>
        <v>3.1459929158451256</v>
      </c>
      <c r="Z121" s="11">
        <f t="shared" si="34"/>
        <v>19.416865872171137</v>
      </c>
      <c r="AA121" s="11">
        <f t="shared" si="55"/>
        <v>4.2801556420233462</v>
      </c>
      <c r="AB121" s="20">
        <f t="shared" si="35"/>
        <v>58.091814834848456</v>
      </c>
      <c r="AC121" s="11">
        <f t="shared" si="36"/>
        <v>7.4191690949381437</v>
      </c>
      <c r="AD121" s="11">
        <f t="shared" si="37"/>
        <v>0.84451501456962885</v>
      </c>
      <c r="AE121" s="11">
        <f t="shared" si="38"/>
        <v>0.58801975188009281</v>
      </c>
      <c r="AF121" s="11">
        <f t="shared" si="39"/>
        <v>3.1913594248922545</v>
      </c>
      <c r="AG121" s="11">
        <f t="shared" si="40"/>
        <v>15.789290014133412</v>
      </c>
      <c r="AH121" s="11">
        <f t="shared" si="41"/>
        <v>8.0473207586676203</v>
      </c>
      <c r="AI121" s="11">
        <f t="shared" si="42"/>
        <v>1.2336200729353877</v>
      </c>
      <c r="AJ121" s="11">
        <f t="shared" si="43"/>
        <v>5.0827938790110094</v>
      </c>
      <c r="AK121" s="11">
        <f t="shared" si="44"/>
        <v>0.20589415644466155</v>
      </c>
      <c r="AL121" s="11">
        <f t="shared" si="45"/>
        <v>2.3189265586013157</v>
      </c>
      <c r="AM121" s="11">
        <f t="shared" si="46"/>
        <v>1.6733262375460207</v>
      </c>
      <c r="AO121" s="11">
        <f t="shared" si="47"/>
        <v>89.304246201791969</v>
      </c>
      <c r="AP121" s="11">
        <f t="shared" si="48"/>
        <v>97.503097136675336</v>
      </c>
      <c r="AQ121" s="11">
        <f t="shared" si="49"/>
        <v>46.394234963619553</v>
      </c>
      <c r="AS121" s="1">
        <v>1437</v>
      </c>
      <c r="AT121" s="1">
        <v>1384</v>
      </c>
      <c r="AU121" s="1">
        <v>1431</v>
      </c>
      <c r="AV121" s="7">
        <v>3884</v>
      </c>
      <c r="AX121" s="23">
        <f t="shared" si="50"/>
        <v>1.4325347664497217</v>
      </c>
      <c r="AY121" s="23">
        <f t="shared" si="51"/>
        <v>2.5248207150459772</v>
      </c>
      <c r="AZ121" s="23">
        <f t="shared" si="52"/>
        <v>34.307550034024878</v>
      </c>
    </row>
    <row r="122" spans="1:52" x14ac:dyDescent="0.25">
      <c r="A122" s="4">
        <v>2017</v>
      </c>
      <c r="C122" s="15">
        <v>7000</v>
      </c>
      <c r="D122" s="7">
        <v>63606</v>
      </c>
      <c r="E122" s="7">
        <v>60060</v>
      </c>
      <c r="F122" s="7">
        <v>7729</v>
      </c>
      <c r="G122" s="7">
        <v>1833</v>
      </c>
      <c r="H122" s="7">
        <v>11895</v>
      </c>
      <c r="I122" s="7">
        <f t="shared" si="53"/>
        <v>2480</v>
      </c>
      <c r="J122" s="18">
        <f t="shared" si="27"/>
        <v>34767</v>
      </c>
      <c r="K122" s="7">
        <f t="shared" si="54"/>
        <v>4384</v>
      </c>
      <c r="L122" s="7">
        <v>558</v>
      </c>
      <c r="M122" s="7">
        <v>332</v>
      </c>
      <c r="N122" s="7">
        <v>1987</v>
      </c>
      <c r="O122" s="7">
        <v>9576</v>
      </c>
      <c r="P122" s="7">
        <v>4928</v>
      </c>
      <c r="Q122" s="7">
        <v>762</v>
      </c>
      <c r="R122" s="7">
        <v>3203</v>
      </c>
      <c r="S122" s="7">
        <v>110</v>
      </c>
      <c r="T122" s="7">
        <v>1491</v>
      </c>
      <c r="U122" s="7">
        <v>1010</v>
      </c>
      <c r="W122" s="21">
        <f t="shared" si="31"/>
        <v>100</v>
      </c>
      <c r="X122" s="11">
        <f t="shared" si="32"/>
        <v>12.868797868797868</v>
      </c>
      <c r="Y122" s="11">
        <f t="shared" si="33"/>
        <v>3.051948051948052</v>
      </c>
      <c r="Z122" s="11">
        <f t="shared" si="34"/>
        <v>19.805194805194805</v>
      </c>
      <c r="AA122" s="11">
        <f t="shared" si="55"/>
        <v>4.1292041292041297</v>
      </c>
      <c r="AB122" s="20">
        <f t="shared" si="35"/>
        <v>57.887112887112892</v>
      </c>
      <c r="AC122" s="11">
        <f t="shared" si="36"/>
        <v>7.2993672993673</v>
      </c>
      <c r="AD122" s="11">
        <f t="shared" si="37"/>
        <v>0.92907092907092914</v>
      </c>
      <c r="AE122" s="11">
        <f t="shared" si="38"/>
        <v>0.55278055278055283</v>
      </c>
      <c r="AF122" s="11">
        <f t="shared" si="39"/>
        <v>3.3083583083583084</v>
      </c>
      <c r="AG122" s="11">
        <f t="shared" si="40"/>
        <v>15.944055944055943</v>
      </c>
      <c r="AH122" s="11">
        <f t="shared" si="41"/>
        <v>8.2051282051282044</v>
      </c>
      <c r="AI122" s="11">
        <f t="shared" si="42"/>
        <v>1.2687312687312686</v>
      </c>
      <c r="AJ122" s="11">
        <f t="shared" si="43"/>
        <v>5.3330003330003333</v>
      </c>
      <c r="AK122" s="11">
        <f t="shared" si="44"/>
        <v>0.18315018315018314</v>
      </c>
      <c r="AL122" s="11">
        <f t="shared" si="45"/>
        <v>2.4825174825174825</v>
      </c>
      <c r="AM122" s="11">
        <f t="shared" si="46"/>
        <v>1.6816516816516816</v>
      </c>
      <c r="AO122" s="11">
        <f t="shared" si="47"/>
        <v>94.42505424016602</v>
      </c>
      <c r="AP122" s="11">
        <f t="shared" si="48"/>
        <v>97.742257742257749</v>
      </c>
      <c r="AQ122" s="11">
        <f t="shared" si="49"/>
        <v>47.187812187812177</v>
      </c>
      <c r="AS122" s="1">
        <v>1616</v>
      </c>
      <c r="AT122" s="1">
        <v>1412</v>
      </c>
      <c r="AU122" s="1">
        <v>1356</v>
      </c>
      <c r="AV122" s="7">
        <v>3836</v>
      </c>
      <c r="AX122" s="23">
        <f t="shared" si="50"/>
        <v>1.4818514818514821</v>
      </c>
      <c r="AY122" s="23">
        <f t="shared" si="51"/>
        <v>2.6656676656676654</v>
      </c>
      <c r="AZ122" s="23">
        <f t="shared" si="52"/>
        <v>34.542124542124547</v>
      </c>
    </row>
    <row r="123" spans="1:52" x14ac:dyDescent="0.25">
      <c r="A123" s="4">
        <v>2018</v>
      </c>
      <c r="C123" s="15">
        <v>7000</v>
      </c>
      <c r="D123" s="7">
        <v>67241</v>
      </c>
      <c r="E123" s="7">
        <v>61224</v>
      </c>
      <c r="F123" s="7">
        <v>7923</v>
      </c>
      <c r="G123" s="7">
        <v>1866</v>
      </c>
      <c r="H123" s="7">
        <v>11747</v>
      </c>
      <c r="I123" s="7">
        <f t="shared" si="53"/>
        <v>2642</v>
      </c>
      <c r="J123" s="18">
        <f t="shared" si="27"/>
        <v>35639</v>
      </c>
      <c r="K123" s="7">
        <f t="shared" si="54"/>
        <v>4632</v>
      </c>
      <c r="L123" s="7">
        <v>583</v>
      </c>
      <c r="M123" s="7">
        <v>347</v>
      </c>
      <c r="N123" s="7">
        <v>2025</v>
      </c>
      <c r="O123" s="7">
        <v>9761</v>
      </c>
      <c r="P123" s="7">
        <v>4968</v>
      </c>
      <c r="Q123" s="7">
        <v>768</v>
      </c>
      <c r="R123" s="7">
        <v>3226</v>
      </c>
      <c r="S123" s="7">
        <v>108</v>
      </c>
      <c r="T123" s="7">
        <v>1407</v>
      </c>
      <c r="U123" s="7">
        <v>993</v>
      </c>
      <c r="W123" s="21">
        <f t="shared" si="31"/>
        <v>100</v>
      </c>
      <c r="X123" s="11">
        <f t="shared" si="32"/>
        <v>12.941003528028224</v>
      </c>
      <c r="Y123" s="11">
        <f t="shared" si="33"/>
        <v>3.0478243825950608</v>
      </c>
      <c r="Z123" s="11">
        <f t="shared" si="34"/>
        <v>19.186920162027963</v>
      </c>
      <c r="AA123" s="11">
        <f t="shared" si="55"/>
        <v>4.3153011890761794</v>
      </c>
      <c r="AB123" s="20">
        <f t="shared" si="35"/>
        <v>58.210832353325493</v>
      </c>
      <c r="AC123" s="11">
        <f t="shared" si="36"/>
        <v>7.5656605252842031</v>
      </c>
      <c r="AD123" s="11">
        <f t="shared" si="37"/>
        <v>0.95224095126094344</v>
      </c>
      <c r="AE123" s="11">
        <f t="shared" si="38"/>
        <v>0.5667712008362733</v>
      </c>
      <c r="AF123" s="11">
        <f t="shared" si="39"/>
        <v>3.3075264602116814</v>
      </c>
      <c r="AG123" s="11">
        <f t="shared" si="40"/>
        <v>15.943094211420359</v>
      </c>
      <c r="AH123" s="11">
        <f t="shared" si="41"/>
        <v>8.114464915719326</v>
      </c>
      <c r="AI123" s="11">
        <f t="shared" si="42"/>
        <v>1.2544100352802823</v>
      </c>
      <c r="AJ123" s="11">
        <f t="shared" si="43"/>
        <v>5.2691754867372271</v>
      </c>
      <c r="AK123" s="11">
        <f t="shared" si="44"/>
        <v>0.17640141121128969</v>
      </c>
      <c r="AL123" s="11">
        <f t="shared" si="45"/>
        <v>2.2981183849470797</v>
      </c>
      <c r="AM123" s="11">
        <f t="shared" si="46"/>
        <v>1.6219129753038024</v>
      </c>
      <c r="AO123" s="11">
        <f t="shared" si="47"/>
        <v>91.051590547433861</v>
      </c>
      <c r="AP123" s="11">
        <f t="shared" si="48"/>
        <v>97.701881615052912</v>
      </c>
      <c r="AQ123" s="11">
        <f t="shared" si="49"/>
        <v>47.06977655821246</v>
      </c>
      <c r="AS123" s="1">
        <v>1703</v>
      </c>
      <c r="AT123" s="1">
        <v>1522</v>
      </c>
      <c r="AU123" s="1">
        <v>1407</v>
      </c>
      <c r="AV123" s="7">
        <v>4049</v>
      </c>
      <c r="AX123" s="23">
        <f t="shared" si="50"/>
        <v>1.5190121520972166</v>
      </c>
      <c r="AY123" s="23">
        <f t="shared" si="51"/>
        <v>2.4745197961583694</v>
      </c>
      <c r="AZ123" s="23">
        <f t="shared" si="52"/>
        <v>34.375408336600032</v>
      </c>
    </row>
    <row r="124" spans="1:52" x14ac:dyDescent="0.25">
      <c r="A124" s="4">
        <v>2019</v>
      </c>
      <c r="C124" s="15">
        <v>7000</v>
      </c>
      <c r="D124" s="7">
        <v>71487</v>
      </c>
      <c r="E124" s="7">
        <v>63036</v>
      </c>
      <c r="F124" s="7">
        <v>8169</v>
      </c>
      <c r="G124" s="7">
        <v>1883</v>
      </c>
      <c r="H124" s="7">
        <v>12190</v>
      </c>
      <c r="I124" s="7">
        <f t="shared" si="53"/>
        <v>2646</v>
      </c>
      <c r="J124" s="18">
        <f t="shared" si="27"/>
        <v>36739</v>
      </c>
      <c r="K124" s="7">
        <f t="shared" si="54"/>
        <v>4858</v>
      </c>
      <c r="L124" s="7">
        <v>579</v>
      </c>
      <c r="M124" s="7">
        <v>320</v>
      </c>
      <c r="N124" s="7">
        <v>2098</v>
      </c>
      <c r="O124" s="7">
        <v>10742</v>
      </c>
      <c r="P124" s="7">
        <v>5193</v>
      </c>
      <c r="Q124" s="7">
        <v>786</v>
      </c>
      <c r="R124" s="7">
        <v>3090</v>
      </c>
      <c r="S124" s="7">
        <v>92</v>
      </c>
      <c r="T124" s="7">
        <v>1443</v>
      </c>
      <c r="U124" s="7">
        <v>899</v>
      </c>
      <c r="W124" s="21">
        <f t="shared" si="31"/>
        <v>100</v>
      </c>
      <c r="X124" s="11">
        <f t="shared" si="32"/>
        <v>12.959261374452694</v>
      </c>
      <c r="Y124" s="11">
        <f t="shared" si="33"/>
        <v>2.987181927787296</v>
      </c>
      <c r="Z124" s="11">
        <f t="shared" si="34"/>
        <v>19.338155974363854</v>
      </c>
      <c r="AA124" s="11">
        <f t="shared" si="55"/>
        <v>4.1976013706453461</v>
      </c>
      <c r="AB124" s="20">
        <f t="shared" si="35"/>
        <v>58.282568690906785</v>
      </c>
      <c r="AC124" s="11">
        <f t="shared" si="36"/>
        <v>7.7067072783806072</v>
      </c>
      <c r="AD124" s="11">
        <f t="shared" si="37"/>
        <v>0.91852274890538743</v>
      </c>
      <c r="AE124" s="11">
        <f t="shared" si="38"/>
        <v>0.50764642426549911</v>
      </c>
      <c r="AF124" s="11">
        <f t="shared" si="39"/>
        <v>3.3282568690906782</v>
      </c>
      <c r="AG124" s="11">
        <f t="shared" si="40"/>
        <v>17.041055904562473</v>
      </c>
      <c r="AH124" s="11">
        <f t="shared" si="41"/>
        <v>8.2381496287835514</v>
      </c>
      <c r="AI124" s="11">
        <f t="shared" si="42"/>
        <v>1.2469065296021322</v>
      </c>
      <c r="AJ124" s="11">
        <f t="shared" si="43"/>
        <v>4.9019607843137258</v>
      </c>
      <c r="AK124" s="11">
        <f t="shared" si="44"/>
        <v>0.14594834697633097</v>
      </c>
      <c r="AL124" s="11">
        <f t="shared" si="45"/>
        <v>2.289168094422235</v>
      </c>
      <c r="AM124" s="11">
        <f t="shared" si="46"/>
        <v>1.4261691731708865</v>
      </c>
      <c r="AO124" s="11">
        <f t="shared" si="47"/>
        <v>88.178270174996854</v>
      </c>
      <c r="AP124" s="11">
        <f t="shared" si="48"/>
        <v>97.764769338155972</v>
      </c>
      <c r="AQ124" s="11">
        <f t="shared" si="49"/>
        <v>47.750491782473517</v>
      </c>
      <c r="AS124" s="1">
        <v>1879</v>
      </c>
      <c r="AT124" s="1">
        <v>1570</v>
      </c>
      <c r="AU124" s="1">
        <v>1409</v>
      </c>
      <c r="AV124" s="7">
        <v>4055</v>
      </c>
      <c r="AX124" s="23">
        <f t="shared" si="50"/>
        <v>1.4261691731708865</v>
      </c>
      <c r="AY124" s="23">
        <f t="shared" si="51"/>
        <v>2.435116441398566</v>
      </c>
      <c r="AZ124" s="23">
        <f t="shared" si="52"/>
        <v>34.570721492480487</v>
      </c>
    </row>
    <row r="125" spans="1:52" x14ac:dyDescent="0.25">
      <c r="A125" s="4">
        <v>2020</v>
      </c>
      <c r="C125" s="15">
        <v>7000</v>
      </c>
      <c r="D125" s="7">
        <v>74949</v>
      </c>
      <c r="E125" s="7">
        <v>61332</v>
      </c>
      <c r="F125" s="7">
        <v>7310</v>
      </c>
      <c r="G125" s="7">
        <v>1434</v>
      </c>
      <c r="H125" s="7">
        <v>12604</v>
      </c>
      <c r="I125" s="7">
        <f t="shared" si="53"/>
        <v>2718</v>
      </c>
      <c r="J125" s="18">
        <f t="shared" si="27"/>
        <v>35818</v>
      </c>
      <c r="K125" s="7">
        <f t="shared" si="54"/>
        <v>5071</v>
      </c>
      <c r="L125" s="7">
        <v>478</v>
      </c>
      <c r="M125" s="7">
        <v>315</v>
      </c>
      <c r="N125" s="7">
        <v>2346</v>
      </c>
      <c r="O125" s="7">
        <v>9826</v>
      </c>
      <c r="P125" s="7">
        <v>5177</v>
      </c>
      <c r="Q125" s="7">
        <v>646</v>
      </c>
      <c r="R125" s="7">
        <v>2909</v>
      </c>
      <c r="S125" s="7">
        <v>114</v>
      </c>
      <c r="T125" s="7">
        <v>1271</v>
      </c>
      <c r="U125" s="7">
        <v>907</v>
      </c>
      <c r="W125" s="21">
        <f t="shared" si="31"/>
        <v>100</v>
      </c>
      <c r="X125" s="11">
        <f t="shared" si="32"/>
        <v>11.918737363855737</v>
      </c>
      <c r="Y125" s="11">
        <f t="shared" si="33"/>
        <v>2.3380943063979651</v>
      </c>
      <c r="Z125" s="11">
        <f t="shared" si="34"/>
        <v>20.550446748842365</v>
      </c>
      <c r="AA125" s="11">
        <f t="shared" si="55"/>
        <v>4.4316180786538837</v>
      </c>
      <c r="AB125" s="20">
        <f t="shared" si="35"/>
        <v>58.400182612665496</v>
      </c>
      <c r="AC125" s="11">
        <f t="shared" si="36"/>
        <v>8.268114524228789</v>
      </c>
      <c r="AD125" s="11">
        <f t="shared" si="37"/>
        <v>0.77936476879932171</v>
      </c>
      <c r="AE125" s="11">
        <f t="shared" si="38"/>
        <v>0.51359812169829777</v>
      </c>
      <c r="AF125" s="11">
        <f t="shared" si="39"/>
        <v>3.8250831539816081</v>
      </c>
      <c r="AG125" s="11">
        <f t="shared" si="40"/>
        <v>16.021000456531663</v>
      </c>
      <c r="AH125" s="11">
        <f t="shared" si="41"/>
        <v>8.4409443683558329</v>
      </c>
      <c r="AI125" s="11">
        <f t="shared" si="42"/>
        <v>1.0532837670384139</v>
      </c>
      <c r="AJ125" s="11">
        <f t="shared" si="43"/>
        <v>4.7430378921280898</v>
      </c>
      <c r="AK125" s="11">
        <f t="shared" si="44"/>
        <v>0.18587360594795538</v>
      </c>
      <c r="AL125" s="11">
        <f t="shared" si="45"/>
        <v>2.0723276592969411</v>
      </c>
      <c r="AM125" s="11">
        <f t="shared" si="46"/>
        <v>1.4788364964455749</v>
      </c>
      <c r="AO125" s="11">
        <f t="shared" si="47"/>
        <v>81.831645518952882</v>
      </c>
      <c r="AP125" s="11">
        <f t="shared" si="48"/>
        <v>97.639079110415452</v>
      </c>
      <c r="AQ125" s="11">
        <f t="shared" si="49"/>
        <v>47.381464814452492</v>
      </c>
      <c r="AS125" s="1">
        <v>2158</v>
      </c>
      <c r="AT125" s="1">
        <v>1465</v>
      </c>
      <c r="AU125" s="1">
        <v>1448</v>
      </c>
      <c r="AV125" s="7">
        <v>4166</v>
      </c>
      <c r="AX125" s="23">
        <f t="shared" si="50"/>
        <v>1.2929628904976194</v>
      </c>
      <c r="AY125" s="23">
        <f t="shared" si="51"/>
        <v>2.2582012652448964</v>
      </c>
      <c r="AZ125" s="23">
        <f t="shared" si="52"/>
        <v>37.075262505706647</v>
      </c>
    </row>
    <row r="126" spans="1:52" x14ac:dyDescent="0.25">
      <c r="A126" s="4">
        <v>2021</v>
      </c>
      <c r="C126" s="15">
        <v>7000</v>
      </c>
      <c r="D126" s="7">
        <v>78743</v>
      </c>
      <c r="E126" s="7">
        <v>66928</v>
      </c>
      <c r="F126" s="7">
        <v>8289</v>
      </c>
      <c r="G126" s="7">
        <v>1754</v>
      </c>
      <c r="H126" s="7">
        <v>13258</v>
      </c>
      <c r="I126" s="7">
        <f t="shared" si="53"/>
        <v>2814</v>
      </c>
      <c r="J126" s="18">
        <f t="shared" si="27"/>
        <v>39404</v>
      </c>
      <c r="K126" s="7">
        <f t="shared" si="54"/>
        <v>5382</v>
      </c>
      <c r="L126" s="7">
        <v>554</v>
      </c>
      <c r="M126" s="7">
        <v>341</v>
      </c>
      <c r="N126" s="7">
        <v>2701</v>
      </c>
      <c r="O126" s="7">
        <v>10961</v>
      </c>
      <c r="P126" s="7">
        <v>5452</v>
      </c>
      <c r="Q126" s="7">
        <v>771</v>
      </c>
      <c r="R126" s="7">
        <v>3568</v>
      </c>
      <c r="S126" s="7">
        <v>114</v>
      </c>
      <c r="T126" s="7">
        <v>1226</v>
      </c>
      <c r="U126" s="7">
        <v>986</v>
      </c>
      <c r="W126" s="21">
        <f t="shared" si="31"/>
        <v>100</v>
      </c>
      <c r="X126" s="11">
        <f t="shared" si="32"/>
        <v>12.384950992110925</v>
      </c>
      <c r="Y126" s="11">
        <f t="shared" si="33"/>
        <v>2.6207267511355483</v>
      </c>
      <c r="Z126" s="11">
        <f t="shared" si="34"/>
        <v>19.809347358355247</v>
      </c>
      <c r="AA126" s="11">
        <f t="shared" si="55"/>
        <v>4.2045182883098251</v>
      </c>
      <c r="AB126" s="20">
        <f t="shared" si="35"/>
        <v>58.875209180014345</v>
      </c>
      <c r="AC126" s="11">
        <f t="shared" si="36"/>
        <v>8.0414774085584497</v>
      </c>
      <c r="AD126" s="11">
        <f t="shared" si="37"/>
        <v>0.82775519961749944</v>
      </c>
      <c r="AE126" s="11">
        <f t="shared" si="38"/>
        <v>0.50950274922304561</v>
      </c>
      <c r="AF126" s="11">
        <f t="shared" si="39"/>
        <v>4.0356801338752097</v>
      </c>
      <c r="AG126" s="11">
        <f t="shared" si="40"/>
        <v>16.377300980157781</v>
      </c>
      <c r="AH126" s="11">
        <f t="shared" si="41"/>
        <v>8.1460674157303377</v>
      </c>
      <c r="AI126" s="11">
        <f t="shared" si="42"/>
        <v>1.1519842218503467</v>
      </c>
      <c r="AJ126" s="11">
        <f t="shared" si="43"/>
        <v>5.3311020798469997</v>
      </c>
      <c r="AK126" s="11">
        <f t="shared" si="44"/>
        <v>0.17033229739421468</v>
      </c>
      <c r="AL126" s="11">
        <f t="shared" si="45"/>
        <v>1.8318192684676069</v>
      </c>
      <c r="AM126" s="11">
        <f t="shared" si="46"/>
        <v>1.4732249581639971</v>
      </c>
      <c r="AO126" s="11">
        <f t="shared" si="47"/>
        <v>84.995491662750979</v>
      </c>
      <c r="AP126" s="11">
        <f t="shared" si="48"/>
        <v>97.894752569925885</v>
      </c>
      <c r="AQ126" s="11">
        <f t="shared" si="49"/>
        <v>47.896246712885493</v>
      </c>
      <c r="AS126" s="1">
        <v>2335</v>
      </c>
      <c r="AT126" s="1">
        <v>1638</v>
      </c>
      <c r="AU126" s="1">
        <v>1409</v>
      </c>
      <c r="AV126" s="7">
        <v>4223</v>
      </c>
      <c r="AX126" s="23">
        <f t="shared" si="50"/>
        <v>1.3372579488405449</v>
      </c>
      <c r="AY126" s="23">
        <f t="shared" si="51"/>
        <v>2.0021515658618214</v>
      </c>
      <c r="AZ126" s="23">
        <f t="shared" si="52"/>
        <v>36.091023189098728</v>
      </c>
    </row>
    <row r="127" spans="1:52" x14ac:dyDescent="0.25">
      <c r="A127" s="4">
        <v>2022</v>
      </c>
      <c r="C127" s="15">
        <v>7000</v>
      </c>
      <c r="D127" s="7">
        <v>83195</v>
      </c>
      <c r="E127" s="7">
        <v>72967</v>
      </c>
      <c r="F127" s="7">
        <v>9343</v>
      </c>
      <c r="G127" s="7">
        <v>1945</v>
      </c>
      <c r="H127" s="7">
        <v>14507</v>
      </c>
      <c r="I127" s="7">
        <f t="shared" si="53"/>
        <v>3118</v>
      </c>
      <c r="J127" s="18">
        <f t="shared" si="27"/>
        <v>42623</v>
      </c>
      <c r="K127" s="7">
        <f t="shared" si="54"/>
        <v>5839</v>
      </c>
      <c r="L127" s="7">
        <v>583</v>
      </c>
      <c r="M127" s="7">
        <v>371</v>
      </c>
      <c r="N127" s="7">
        <v>2606</v>
      </c>
      <c r="O127" s="7">
        <v>12295</v>
      </c>
      <c r="P127" s="7">
        <v>5850</v>
      </c>
      <c r="Q127" s="7">
        <v>866</v>
      </c>
      <c r="R127" s="7">
        <v>3458</v>
      </c>
      <c r="S127" s="7">
        <v>117</v>
      </c>
      <c r="T127" s="7">
        <v>1335</v>
      </c>
      <c r="U127" s="7">
        <v>1009</v>
      </c>
      <c r="W127" s="21">
        <f t="shared" si="31"/>
        <v>100</v>
      </c>
      <c r="X127" s="11">
        <f t="shared" si="32"/>
        <v>12.804418435731222</v>
      </c>
      <c r="Y127" s="11">
        <f t="shared" si="33"/>
        <v>2.6655885537297683</v>
      </c>
      <c r="Z127" s="11">
        <f t="shared" si="34"/>
        <v>19.881590307947427</v>
      </c>
      <c r="AA127" s="11">
        <f t="shared" si="55"/>
        <v>4.2731645812490582</v>
      </c>
      <c r="AB127" s="20">
        <f t="shared" si="35"/>
        <v>58.414077596721803</v>
      </c>
      <c r="AC127" s="11">
        <f t="shared" si="36"/>
        <v>8.0022475913769231</v>
      </c>
      <c r="AD127" s="11">
        <f t="shared" si="37"/>
        <v>0.79899132484547808</v>
      </c>
      <c r="AE127" s="11">
        <f t="shared" si="38"/>
        <v>0.50844902490166788</v>
      </c>
      <c r="AF127" s="11">
        <f t="shared" si="39"/>
        <v>3.5714775172338182</v>
      </c>
      <c r="AG127" s="11">
        <f t="shared" si="40"/>
        <v>16.850082914194086</v>
      </c>
      <c r="AH127" s="11">
        <f t="shared" si="41"/>
        <v>8.0173228993928767</v>
      </c>
      <c r="AI127" s="11">
        <f t="shared" si="42"/>
        <v>1.1868378856195267</v>
      </c>
      <c r="AJ127" s="11">
        <f t="shared" si="43"/>
        <v>4.7391286471966785</v>
      </c>
      <c r="AK127" s="11">
        <f t="shared" si="44"/>
        <v>0.16034645798785752</v>
      </c>
      <c r="AL127" s="11">
        <f t="shared" si="45"/>
        <v>1.8295942001178616</v>
      </c>
      <c r="AM127" s="11">
        <f t="shared" si="46"/>
        <v>1.382816889826908</v>
      </c>
      <c r="AO127" s="11">
        <f>(E127/D127)*100</f>
        <v>87.705991946631414</v>
      </c>
      <c r="AP127" s="11">
        <f t="shared" si="48"/>
        <v>98.038839475379277</v>
      </c>
      <c r="AQ127" s="11">
        <f t="shared" si="49"/>
        <v>47.047295352693681</v>
      </c>
      <c r="AS127" s="1">
        <v>2559</v>
      </c>
      <c r="AT127" s="1">
        <v>1849</v>
      </c>
      <c r="AU127" s="1">
        <v>1431</v>
      </c>
      <c r="AV127" s="7">
        <v>4549</v>
      </c>
      <c r="AX127" s="23">
        <f t="shared" si="50"/>
        <v>1.3074403497471461</v>
      </c>
      <c r="AY127" s="23">
        <f t="shared" si="51"/>
        <v>1.9899406581057191</v>
      </c>
      <c r="AZ127" s="23">
        <f t="shared" si="52"/>
        <v>35.728479997807227</v>
      </c>
    </row>
    <row r="128" spans="1:52" x14ac:dyDescent="0.25">
      <c r="A128" s="4">
        <v>2023</v>
      </c>
      <c r="C128" s="15">
        <v>7000</v>
      </c>
      <c r="D128" s="7">
        <v>87869</v>
      </c>
      <c r="E128" s="7">
        <v>77280</v>
      </c>
      <c r="F128" s="7">
        <v>9985</v>
      </c>
      <c r="G128" s="7">
        <v>2041</v>
      </c>
      <c r="H128" s="7">
        <v>15499</v>
      </c>
      <c r="I128" s="7">
        <f t="shared" si="53"/>
        <v>3222</v>
      </c>
      <c r="J128" s="18">
        <f t="shared" si="27"/>
        <v>45130</v>
      </c>
      <c r="K128" s="7">
        <f t="shared" si="54"/>
        <v>5987</v>
      </c>
      <c r="L128" s="7">
        <v>637</v>
      </c>
      <c r="M128" s="7">
        <v>370</v>
      </c>
      <c r="N128" s="7">
        <v>2508</v>
      </c>
      <c r="O128" s="7">
        <v>13174</v>
      </c>
      <c r="P128" s="7">
        <v>6159</v>
      </c>
      <c r="Q128" s="7">
        <v>950</v>
      </c>
      <c r="R128" s="7">
        <v>3635</v>
      </c>
      <c r="S128" s="7">
        <v>117</v>
      </c>
      <c r="T128" s="7">
        <v>1656</v>
      </c>
      <c r="U128" s="7">
        <v>1184</v>
      </c>
      <c r="W128" s="21">
        <f t="shared" si="31"/>
        <v>100</v>
      </c>
      <c r="X128" s="11">
        <f t="shared" si="32"/>
        <v>12.920548654244307</v>
      </c>
      <c r="Y128" s="11">
        <f t="shared" si="33"/>
        <v>2.6410455486542443</v>
      </c>
      <c r="Z128" s="11">
        <f t="shared" si="34"/>
        <v>20.055641821946168</v>
      </c>
      <c r="AA128" s="11">
        <f t="shared" si="55"/>
        <v>4.1692546583850927</v>
      </c>
      <c r="AB128" s="20">
        <f t="shared" si="35"/>
        <v>58.398033126293988</v>
      </c>
      <c r="AC128" s="11">
        <f t="shared" si="36"/>
        <v>7.7471532091097304</v>
      </c>
      <c r="AD128" s="11">
        <f t="shared" si="37"/>
        <v>0.82427536231884058</v>
      </c>
      <c r="AE128" s="11">
        <f t="shared" si="38"/>
        <v>0.47877846790890272</v>
      </c>
      <c r="AF128" s="11">
        <f t="shared" si="39"/>
        <v>3.2453416149068328</v>
      </c>
      <c r="AG128" s="11">
        <f t="shared" si="40"/>
        <v>17.047101449275363</v>
      </c>
      <c r="AH128" s="11">
        <f t="shared" si="41"/>
        <v>7.9697204968944098</v>
      </c>
      <c r="AI128" s="11">
        <f t="shared" si="42"/>
        <v>1.229296066252588</v>
      </c>
      <c r="AJ128" s="11">
        <f t="shared" si="43"/>
        <v>4.7036749482401659</v>
      </c>
      <c r="AK128" s="11">
        <f t="shared" si="44"/>
        <v>0.1513975155279503</v>
      </c>
      <c r="AL128" s="11">
        <f t="shared" si="45"/>
        <v>2.1428571428571428</v>
      </c>
      <c r="AM128" s="11">
        <f t="shared" si="46"/>
        <v>1.5320910973084885</v>
      </c>
      <c r="AO128" s="11">
        <f>(E128/D128)*100</f>
        <v>87.949106055605512</v>
      </c>
      <c r="AP128" s="11">
        <f t="shared" ref="AP128" si="56">SUM(X128:AB128)</f>
        <v>98.184523809523796</v>
      </c>
      <c r="AQ128" s="11">
        <f t="shared" ref="AQ128" si="57">SUM(AC128:AM128)</f>
        <v>47.071687370600408</v>
      </c>
      <c r="AS128" s="1">
        <v>2599</v>
      </c>
      <c r="AT128" s="1">
        <v>1985</v>
      </c>
      <c r="AU128" s="1">
        <v>1403</v>
      </c>
      <c r="AV128" s="1">
        <v>4625</v>
      </c>
      <c r="AX128" s="23">
        <f t="shared" ref="AX128" si="58">AD128+AE128</f>
        <v>1.3030538302277432</v>
      </c>
      <c r="AY128" s="23">
        <f t="shared" ref="AY128" si="59">AK128+AL128</f>
        <v>2.2942546583850931</v>
      </c>
      <c r="AZ128" s="23">
        <f t="shared" si="52"/>
        <v>35.217391304347821</v>
      </c>
    </row>
    <row r="129" spans="1:43" x14ac:dyDescent="0.25">
      <c r="A129" s="4">
        <v>2024</v>
      </c>
      <c r="AQ129" s="11"/>
    </row>
    <row r="133" spans="1:43" x14ac:dyDescent="0.25">
      <c r="A133" s="4" t="s">
        <v>29</v>
      </c>
      <c r="B133" s="14" t="s">
        <v>30</v>
      </c>
      <c r="D133" s="7">
        <v>5634</v>
      </c>
      <c r="E133" s="7">
        <v>5152</v>
      </c>
      <c r="F133" s="7">
        <v>1260</v>
      </c>
      <c r="G133" s="7">
        <v>525</v>
      </c>
      <c r="H133" s="7">
        <v>682</v>
      </c>
      <c r="I133" s="7">
        <v>250</v>
      </c>
      <c r="J133" s="18">
        <f>E133-(F133+G133+H133+I133)</f>
        <v>2435</v>
      </c>
      <c r="K133" s="7">
        <v>297</v>
      </c>
      <c r="L133" s="7">
        <v>81</v>
      </c>
      <c r="M133" s="7">
        <v>93</v>
      </c>
      <c r="N133" s="7">
        <v>269</v>
      </c>
      <c r="O133" s="7">
        <v>781</v>
      </c>
      <c r="P133" s="7">
        <v>342</v>
      </c>
      <c r="Q133" s="7">
        <v>148</v>
      </c>
      <c r="R133" s="7">
        <v>205</v>
      </c>
      <c r="S133" s="7">
        <v>46</v>
      </c>
      <c r="T133" s="7">
        <v>54</v>
      </c>
      <c r="U133" s="7">
        <v>113</v>
      </c>
      <c r="W133" s="21">
        <f>(E133/E133)*100</f>
        <v>100</v>
      </c>
      <c r="X133" s="11">
        <f t="shared" ref="X133:AM133" si="60">(F133/$E$133)*100</f>
        <v>24.456521739130434</v>
      </c>
      <c r="Y133" s="11">
        <f t="shared" si="60"/>
        <v>10.190217391304348</v>
      </c>
      <c r="Z133" s="11">
        <f t="shared" si="60"/>
        <v>13.237577639751553</v>
      </c>
      <c r="AA133" s="11">
        <f t="shared" si="60"/>
        <v>4.8524844720496896</v>
      </c>
      <c r="AB133" s="20">
        <f t="shared" si="60"/>
        <v>47.263198757763973</v>
      </c>
      <c r="AC133" s="11">
        <f t="shared" si="60"/>
        <v>5.7647515527950315</v>
      </c>
      <c r="AD133" s="11">
        <f t="shared" si="60"/>
        <v>1.5722049689440993</v>
      </c>
      <c r="AE133" s="11">
        <f t="shared" si="60"/>
        <v>1.8051242236024845</v>
      </c>
      <c r="AF133" s="11">
        <f t="shared" si="60"/>
        <v>5.2212732919254652</v>
      </c>
      <c r="AG133" s="11">
        <f t="shared" si="60"/>
        <v>15.159161490683228</v>
      </c>
      <c r="AH133" s="11">
        <f t="shared" si="60"/>
        <v>6.6381987577639743</v>
      </c>
      <c r="AI133" s="11">
        <f t="shared" si="60"/>
        <v>2.872670807453416</v>
      </c>
      <c r="AJ133" s="11">
        <f t="shared" si="60"/>
        <v>3.9790372670807455</v>
      </c>
      <c r="AK133" s="11">
        <f t="shared" si="60"/>
        <v>0.89285714285714279</v>
      </c>
      <c r="AL133" s="11">
        <f t="shared" si="60"/>
        <v>1.048136645962733</v>
      </c>
      <c r="AM133" s="11">
        <f t="shared" si="60"/>
        <v>2.1933229813664594</v>
      </c>
      <c r="AO133" s="11">
        <f>(E133/D133)*100</f>
        <v>91.444799432019877</v>
      </c>
      <c r="AP133" s="11">
        <f>SUM(X133:AB133)</f>
        <v>100</v>
      </c>
      <c r="AQ133" s="11">
        <f>SUM(AC133:AM133)</f>
        <v>47.146739130434788</v>
      </c>
    </row>
    <row r="135" spans="1:43" x14ac:dyDescent="0.25">
      <c r="A135" s="4" t="s">
        <v>36</v>
      </c>
      <c r="E135" s="7">
        <v>791</v>
      </c>
      <c r="F135" s="7">
        <v>376</v>
      </c>
      <c r="G135" s="7">
        <v>105</v>
      </c>
      <c r="H135" s="7">
        <v>100</v>
      </c>
      <c r="I135" s="7">
        <v>47</v>
      </c>
      <c r="J135" s="18">
        <f>E135-(F135+G135+H135+I135)</f>
        <v>163</v>
      </c>
      <c r="N135" s="7">
        <v>28</v>
      </c>
      <c r="W135" s="21">
        <f>(E135/E135)*100</f>
        <v>100</v>
      </c>
      <c r="X135" s="11">
        <f>(F135/$E$135)*100</f>
        <v>47.534766118836913</v>
      </c>
      <c r="Y135" s="11">
        <f>(G135/$E$135)*100</f>
        <v>13.274336283185843</v>
      </c>
      <c r="Z135" s="11">
        <f>(H135/$E$135)*100</f>
        <v>12.642225031605561</v>
      </c>
      <c r="AA135" s="11">
        <f>(I135/$E$135)*100</f>
        <v>5.9418457648546141</v>
      </c>
      <c r="AB135" s="20">
        <f>(J135/$E$135)*100</f>
        <v>20.606826801517066</v>
      </c>
      <c r="AF135" s="11">
        <f>(N135/$E$135)*100</f>
        <v>3.5398230088495577</v>
      </c>
      <c r="AP135" s="11">
        <f>SUM(X135:AB135)</f>
        <v>100</v>
      </c>
      <c r="AQ135" s="11">
        <f>SUM(AC135:AM135)</f>
        <v>3.5398230088495577</v>
      </c>
    </row>
    <row r="136" spans="1:43" x14ac:dyDescent="0.25">
      <c r="A136" s="4" t="s">
        <v>37</v>
      </c>
      <c r="D136" s="7">
        <v>758</v>
      </c>
      <c r="E136" s="7">
        <v>697</v>
      </c>
      <c r="F136" s="7">
        <v>256</v>
      </c>
      <c r="G136" s="7">
        <v>63</v>
      </c>
      <c r="H136" s="7">
        <v>124</v>
      </c>
      <c r="I136" s="7">
        <v>68</v>
      </c>
      <c r="J136" s="18">
        <f>E136-(F136+G136+H136+I136)</f>
        <v>186</v>
      </c>
      <c r="K136" s="7">
        <v>16</v>
      </c>
      <c r="N136" s="7">
        <v>22</v>
      </c>
      <c r="O136" s="7">
        <v>28</v>
      </c>
      <c r="P136" s="7">
        <v>27</v>
      </c>
      <c r="Q136" s="7">
        <v>15</v>
      </c>
      <c r="R136" s="64">
        <v>34</v>
      </c>
      <c r="S136" s="65"/>
      <c r="T136" s="66"/>
      <c r="U136" s="7">
        <f>16+25+3</f>
        <v>44</v>
      </c>
      <c r="W136" s="21">
        <f>(E136/E136)*100</f>
        <v>100</v>
      </c>
      <c r="X136" s="11">
        <f t="shared" ref="X136:AC136" si="61">(F136/$E$136)*100</f>
        <v>36.728837876614065</v>
      </c>
      <c r="Y136" s="11">
        <f t="shared" si="61"/>
        <v>9.0387374461979917</v>
      </c>
      <c r="Z136" s="11">
        <f t="shared" si="61"/>
        <v>17.790530846484938</v>
      </c>
      <c r="AA136" s="11">
        <f t="shared" si="61"/>
        <v>9.7560975609756095</v>
      </c>
      <c r="AB136" s="20">
        <f t="shared" si="61"/>
        <v>26.685796269727401</v>
      </c>
      <c r="AC136" s="11">
        <f t="shared" si="61"/>
        <v>2.2955523672883791</v>
      </c>
      <c r="AF136" s="11">
        <f>(N136/$E$136)*100</f>
        <v>3.1563845050215207</v>
      </c>
      <c r="AG136" s="11">
        <f>(O136/$E$136)*100</f>
        <v>4.0172166427546623</v>
      </c>
      <c r="AH136" s="11">
        <f>(P136/$E$136)*100</f>
        <v>3.873744619799139</v>
      </c>
      <c r="AI136" s="11">
        <f>(Q136/$E$136)*100</f>
        <v>2.1520803443328553</v>
      </c>
      <c r="AJ136" s="67">
        <f>(R136/E136)*100</f>
        <v>4.8780487804878048</v>
      </c>
      <c r="AK136" s="68"/>
      <c r="AL136" s="69"/>
      <c r="AM136" s="11">
        <f>(U136/$E$136)*100</f>
        <v>6.3127690100430414</v>
      </c>
      <c r="AO136" s="11">
        <f>(E136/D136)*100</f>
        <v>91.952506596306065</v>
      </c>
      <c r="AP136" s="11">
        <f>SUM(X136:AB136)</f>
        <v>100</v>
      </c>
      <c r="AQ136" s="11">
        <f>SUM(AC136:AM136)</f>
        <v>26.685796269727401</v>
      </c>
    </row>
    <row r="137" spans="1:43" x14ac:dyDescent="0.25">
      <c r="A137" s="4" t="s">
        <v>35</v>
      </c>
      <c r="D137" s="7">
        <v>2320</v>
      </c>
      <c r="E137" s="7">
        <v>2543</v>
      </c>
      <c r="F137" s="7">
        <v>879</v>
      </c>
      <c r="G137" s="7">
        <v>303</v>
      </c>
      <c r="H137" s="7">
        <v>270</v>
      </c>
      <c r="I137" s="7">
        <v>132</v>
      </c>
      <c r="J137" s="18">
        <f>E137-(F137+G137+H137+I137)</f>
        <v>959</v>
      </c>
      <c r="K137" s="7">
        <v>94</v>
      </c>
      <c r="L137" s="7">
        <v>55</v>
      </c>
      <c r="N137" s="7">
        <v>174</v>
      </c>
      <c r="O137" s="7">
        <v>192</v>
      </c>
      <c r="P137" s="7">
        <v>90</v>
      </c>
      <c r="Q137" s="7">
        <v>76</v>
      </c>
      <c r="R137" s="64">
        <v>149</v>
      </c>
      <c r="S137" s="65"/>
      <c r="T137" s="66"/>
      <c r="U137" s="7">
        <f>57+97+30</f>
        <v>184</v>
      </c>
      <c r="W137" s="21">
        <f>(E137/E137)*100</f>
        <v>100</v>
      </c>
      <c r="X137" s="11">
        <f t="shared" ref="X137:AD137" si="62">(F137/$E$137)*100</f>
        <v>34.565473849783714</v>
      </c>
      <c r="Y137" s="11">
        <f t="shared" si="62"/>
        <v>11.915060951631931</v>
      </c>
      <c r="Z137" s="11">
        <f t="shared" si="62"/>
        <v>10.617381046008651</v>
      </c>
      <c r="AA137" s="11">
        <f t="shared" si="62"/>
        <v>5.190719622493118</v>
      </c>
      <c r="AB137" s="20">
        <f t="shared" si="62"/>
        <v>37.711364530082584</v>
      </c>
      <c r="AC137" s="11">
        <f t="shared" si="62"/>
        <v>3.6964215493511601</v>
      </c>
      <c r="AD137" s="11">
        <f t="shared" si="62"/>
        <v>2.162799842705466</v>
      </c>
      <c r="AF137" s="11">
        <f>(N137/$E$137)*100</f>
        <v>6.8423122296500205</v>
      </c>
      <c r="AG137" s="11">
        <f>(O137/$E$137)*100</f>
        <v>7.5501376327172629</v>
      </c>
      <c r="AH137" s="11">
        <f>(P137/$E$137)*100</f>
        <v>3.5391270153362173</v>
      </c>
      <c r="AI137" s="11">
        <f>(Q137/$E$137)*100</f>
        <v>2.9885961462839163</v>
      </c>
      <c r="AJ137" s="67">
        <f>(R137/E137)*100</f>
        <v>5.8592213920566261</v>
      </c>
      <c r="AK137" s="68"/>
      <c r="AL137" s="69"/>
      <c r="AM137" s="11">
        <f>(U137/$E$137)*100</f>
        <v>7.2355485646873774</v>
      </c>
      <c r="AO137" s="11">
        <f>(E137/D137)*100</f>
        <v>109.61206896551725</v>
      </c>
      <c r="AP137" s="11">
        <f>SUM(X137:AB137)</f>
        <v>100</v>
      </c>
      <c r="AQ137" s="11">
        <f>SUM(AC137:AM137)</f>
        <v>39.874164372788051</v>
      </c>
    </row>
    <row r="138" spans="1:43" x14ac:dyDescent="0.25">
      <c r="A138" s="4" t="s">
        <v>136</v>
      </c>
      <c r="D138" s="7">
        <v>3584</v>
      </c>
      <c r="E138" s="7">
        <v>3465</v>
      </c>
      <c r="F138" s="7">
        <v>886</v>
      </c>
      <c r="G138" s="7">
        <v>436</v>
      </c>
      <c r="H138" s="7">
        <v>488</v>
      </c>
      <c r="I138" s="7">
        <v>171</v>
      </c>
      <c r="J138" s="18">
        <f>E138-(F138+G138+H138+I138)</f>
        <v>1484</v>
      </c>
      <c r="K138" s="7">
        <v>206</v>
      </c>
      <c r="L138" s="7">
        <v>65</v>
      </c>
      <c r="M138" s="7">
        <v>75</v>
      </c>
      <c r="N138" s="7">
        <v>196</v>
      </c>
      <c r="O138" s="7">
        <v>419</v>
      </c>
      <c r="P138" s="7">
        <v>170</v>
      </c>
      <c r="Q138" s="7">
        <v>130</v>
      </c>
      <c r="R138" s="7">
        <v>120</v>
      </c>
      <c r="S138" s="7">
        <v>27</v>
      </c>
      <c r="T138" s="7">
        <v>22</v>
      </c>
      <c r="U138" s="7">
        <v>54</v>
      </c>
      <c r="W138" s="21">
        <f>(E138/$E$138)*100</f>
        <v>100</v>
      </c>
      <c r="X138" s="11">
        <f t="shared" ref="X138:AM138" si="63">(F138/$E$138)*100</f>
        <v>25.569985569985569</v>
      </c>
      <c r="Y138" s="11">
        <f t="shared" si="63"/>
        <v>12.582972582972582</v>
      </c>
      <c r="Z138" s="11">
        <f t="shared" si="63"/>
        <v>14.083694083694084</v>
      </c>
      <c r="AA138" s="11">
        <f t="shared" si="63"/>
        <v>4.9350649350649354</v>
      </c>
      <c r="AB138" s="11">
        <f t="shared" si="63"/>
        <v>42.828282828282823</v>
      </c>
      <c r="AC138" s="11">
        <f t="shared" si="63"/>
        <v>5.9451659451659449</v>
      </c>
      <c r="AD138" s="11">
        <f t="shared" si="63"/>
        <v>1.875901875901876</v>
      </c>
      <c r="AE138" s="11">
        <f t="shared" si="63"/>
        <v>2.1645021645021645</v>
      </c>
      <c r="AF138" s="11">
        <f t="shared" si="63"/>
        <v>5.6565656565656566</v>
      </c>
      <c r="AG138" s="11">
        <f t="shared" si="63"/>
        <v>12.092352092352092</v>
      </c>
      <c r="AH138" s="11">
        <f t="shared" si="63"/>
        <v>4.9062049062049065</v>
      </c>
      <c r="AI138" s="11">
        <f t="shared" si="63"/>
        <v>3.7518037518037519</v>
      </c>
      <c r="AJ138" s="11">
        <f t="shared" si="63"/>
        <v>3.4632034632034632</v>
      </c>
      <c r="AK138" s="11">
        <f t="shared" si="63"/>
        <v>0.77922077922077926</v>
      </c>
      <c r="AL138" s="11">
        <f t="shared" si="63"/>
        <v>0.63492063492063489</v>
      </c>
      <c r="AM138" s="11">
        <f t="shared" si="63"/>
        <v>1.5584415584415585</v>
      </c>
      <c r="AO138" s="11">
        <f>(E138/D138)*100</f>
        <v>96.6796875</v>
      </c>
      <c r="AP138" s="11">
        <f>SUM(X138:AB138)</f>
        <v>100</v>
      </c>
    </row>
    <row r="144" spans="1:43" x14ac:dyDescent="0.25">
      <c r="A144" s="4" t="s">
        <v>46</v>
      </c>
    </row>
    <row r="145" spans="1:52" x14ac:dyDescent="0.25">
      <c r="A145" s="26" t="s">
        <v>47</v>
      </c>
      <c r="B145" s="27"/>
      <c r="D145" s="24"/>
      <c r="E145" s="24"/>
      <c r="F145" s="24"/>
      <c r="G145" s="24"/>
      <c r="H145" s="24"/>
      <c r="I145" s="24"/>
      <c r="J145" s="28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AX145" s="11"/>
      <c r="AY145" s="11"/>
      <c r="AZ145" s="11"/>
    </row>
    <row r="146" spans="1:52" x14ac:dyDescent="0.25">
      <c r="A146" s="26" t="s">
        <v>60</v>
      </c>
      <c r="B146" s="27"/>
      <c r="D146" s="24"/>
      <c r="E146" s="24"/>
      <c r="F146" s="24"/>
      <c r="G146" s="24"/>
      <c r="H146" s="24"/>
      <c r="I146" s="24"/>
      <c r="J146" s="28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AJ146" s="11">
        <f>MAX(AJ89:AJ127)</f>
        <v>5.6154181357207937</v>
      </c>
      <c r="AK146" s="11" t="s">
        <v>134</v>
      </c>
      <c r="AX146" s="11"/>
      <c r="AY146" s="11"/>
      <c r="AZ146" s="11"/>
    </row>
    <row r="147" spans="1:52" x14ac:dyDescent="0.25">
      <c r="A147" s="26"/>
      <c r="B147" s="27"/>
      <c r="D147" s="24"/>
      <c r="E147" s="24"/>
      <c r="F147" s="24"/>
      <c r="G147" s="24"/>
      <c r="H147" s="24"/>
      <c r="I147" s="24"/>
      <c r="J147" s="28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AJ147" s="11">
        <f>MIN(AJ89:AJ127)</f>
        <v>4.7391286471966785</v>
      </c>
      <c r="AK147" s="11" t="s">
        <v>135</v>
      </c>
      <c r="AX147" s="11"/>
      <c r="AY147" s="11"/>
      <c r="AZ147" s="11"/>
    </row>
    <row r="148" spans="1:52" x14ac:dyDescent="0.25">
      <c r="A148" s="29" t="s">
        <v>48</v>
      </c>
      <c r="B148" s="27"/>
      <c r="D148" s="24"/>
      <c r="E148" s="24"/>
      <c r="F148" s="24"/>
      <c r="G148" s="24"/>
      <c r="H148" s="24"/>
      <c r="I148" s="24"/>
      <c r="J148" s="28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AX148" s="11"/>
      <c r="AY148" s="11"/>
      <c r="AZ148" s="11"/>
    </row>
    <row r="149" spans="1:52" x14ac:dyDescent="0.25">
      <c r="A149" s="26" t="s">
        <v>53</v>
      </c>
      <c r="B149" s="27"/>
      <c r="D149" s="24"/>
      <c r="E149" s="24"/>
      <c r="F149" s="24"/>
      <c r="G149" s="24"/>
      <c r="H149" s="24"/>
      <c r="I149" s="24"/>
      <c r="J149" s="28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AX149" s="11"/>
      <c r="AY149" s="11"/>
      <c r="AZ149" s="11"/>
    </row>
    <row r="150" spans="1:52" x14ac:dyDescent="0.25">
      <c r="A150" s="30" t="s">
        <v>54</v>
      </c>
      <c r="B150" s="27"/>
      <c r="D150" s="24"/>
      <c r="E150" s="24"/>
      <c r="F150" s="24"/>
      <c r="G150" s="24"/>
      <c r="H150" s="24"/>
      <c r="I150" s="24"/>
      <c r="J150" s="28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AX150" s="11"/>
      <c r="AY150" s="11"/>
      <c r="AZ150" s="11"/>
    </row>
    <row r="151" spans="1:52" x14ac:dyDescent="0.25">
      <c r="A151" s="29"/>
      <c r="B151" s="27"/>
      <c r="D151" s="24"/>
      <c r="E151" s="24"/>
      <c r="F151" s="24"/>
      <c r="G151" s="24"/>
      <c r="H151" s="24"/>
      <c r="I151" s="24"/>
      <c r="J151" s="28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AX151" s="11"/>
      <c r="AY151" s="11"/>
      <c r="AZ151" s="11"/>
    </row>
    <row r="152" spans="1:52" x14ac:dyDescent="0.25">
      <c r="A152" s="29" t="s">
        <v>56</v>
      </c>
      <c r="B152" s="27"/>
      <c r="D152" s="24"/>
      <c r="E152" s="24"/>
      <c r="F152" s="24"/>
      <c r="G152" s="24"/>
      <c r="H152" s="24"/>
      <c r="I152" s="24"/>
      <c r="J152" s="28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AX152" s="11"/>
      <c r="AY152" s="11"/>
      <c r="AZ152" s="11"/>
    </row>
    <row r="153" spans="1:52" x14ac:dyDescent="0.25">
      <c r="A153" s="26" t="s">
        <v>55</v>
      </c>
      <c r="B153" s="27"/>
      <c r="D153" s="24"/>
      <c r="E153" s="24"/>
      <c r="F153" s="24"/>
      <c r="G153" s="24"/>
      <c r="H153" s="24"/>
      <c r="I153" s="24"/>
      <c r="J153" s="28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AX153" s="11"/>
      <c r="AY153" s="11"/>
      <c r="AZ153" s="11"/>
    </row>
    <row r="154" spans="1:52" x14ac:dyDescent="0.25">
      <c r="A154" s="29" t="s">
        <v>49</v>
      </c>
      <c r="B154" s="27"/>
      <c r="D154" s="24"/>
      <c r="E154" s="24"/>
      <c r="F154" s="24"/>
      <c r="G154" s="24"/>
      <c r="H154" s="24"/>
      <c r="I154" s="24"/>
      <c r="J154" s="28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AX154" s="11"/>
      <c r="AY154" s="11"/>
      <c r="AZ154" s="11"/>
    </row>
    <row r="155" spans="1:52" x14ac:dyDescent="0.25">
      <c r="A155" s="26" t="s">
        <v>51</v>
      </c>
      <c r="B155" s="27"/>
      <c r="D155" s="24"/>
      <c r="E155" s="24"/>
      <c r="F155" s="24"/>
      <c r="G155" s="24"/>
      <c r="H155" s="24"/>
      <c r="I155" s="24"/>
      <c r="J155" s="28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AX155" s="11"/>
      <c r="AY155" s="11"/>
      <c r="AZ155" s="11"/>
    </row>
    <row r="156" spans="1:52" x14ac:dyDescent="0.25">
      <c r="A156" s="30" t="s">
        <v>50</v>
      </c>
      <c r="B156" s="27"/>
      <c r="D156" s="24"/>
      <c r="E156" s="24"/>
      <c r="F156" s="24"/>
      <c r="G156" s="24"/>
      <c r="H156" s="24"/>
      <c r="I156" s="24"/>
      <c r="J156" s="28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AX156" s="11"/>
      <c r="AY156" s="11"/>
      <c r="AZ156" s="11"/>
    </row>
    <row r="157" spans="1:52" x14ac:dyDescent="0.25">
      <c r="A157" s="26" t="s">
        <v>82</v>
      </c>
      <c r="B157" s="27"/>
      <c r="D157" s="24"/>
      <c r="E157" s="24"/>
      <c r="F157" s="24"/>
      <c r="G157" s="24"/>
      <c r="H157" s="24"/>
      <c r="I157" s="24"/>
      <c r="J157" s="28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AX157" s="11"/>
      <c r="AY157" s="11"/>
      <c r="AZ157" s="11"/>
    </row>
    <row r="158" spans="1:52" x14ac:dyDescent="0.25">
      <c r="A158" s="30" t="s">
        <v>59</v>
      </c>
      <c r="B158" s="27"/>
      <c r="D158" s="24"/>
      <c r="E158" s="24"/>
      <c r="F158" s="24"/>
      <c r="G158" s="24"/>
      <c r="H158" s="24"/>
      <c r="I158" s="24"/>
      <c r="J158" s="28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AX158" s="11"/>
      <c r="AY158" s="11"/>
      <c r="AZ158" s="11"/>
    </row>
    <row r="159" spans="1:52" x14ac:dyDescent="0.25">
      <c r="A159" s="29" t="s">
        <v>128</v>
      </c>
      <c r="B159" s="27"/>
      <c r="D159" s="24"/>
      <c r="E159" s="24"/>
      <c r="F159" s="24"/>
      <c r="G159" s="24"/>
      <c r="H159" s="24"/>
      <c r="I159" s="24"/>
      <c r="J159" s="28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AX159" s="11"/>
      <c r="AY159" s="11"/>
      <c r="AZ159" s="11"/>
    </row>
    <row r="160" spans="1:52" x14ac:dyDescent="0.25">
      <c r="A160" s="26" t="s">
        <v>129</v>
      </c>
      <c r="B160" s="27"/>
      <c r="D160" s="24"/>
      <c r="E160" s="24"/>
      <c r="F160" s="24"/>
      <c r="G160" s="24"/>
      <c r="H160" s="24"/>
      <c r="I160" s="24"/>
      <c r="J160" s="28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AX160" s="11"/>
      <c r="AY160" s="11"/>
      <c r="AZ160" s="11"/>
    </row>
    <row r="161" spans="1:52" x14ac:dyDescent="0.25">
      <c r="A161" s="30" t="s">
        <v>130</v>
      </c>
      <c r="B161" s="27"/>
      <c r="D161" s="24"/>
      <c r="E161" s="24"/>
      <c r="F161" s="24"/>
      <c r="G161" s="24"/>
      <c r="H161" s="24"/>
      <c r="I161" s="24"/>
      <c r="J161" s="28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AX161" s="11"/>
      <c r="AY161" s="11"/>
      <c r="AZ161" s="11"/>
    </row>
    <row r="162" spans="1:52" x14ac:dyDescent="0.25">
      <c r="A162" s="29" t="s">
        <v>52</v>
      </c>
      <c r="B162" s="27"/>
      <c r="D162" s="24"/>
      <c r="E162" s="24"/>
      <c r="F162" s="24"/>
      <c r="G162" s="24"/>
      <c r="H162" s="24"/>
      <c r="I162" s="24"/>
      <c r="J162" s="28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AX162" s="11"/>
      <c r="AY162" s="11"/>
      <c r="AZ162" s="11"/>
    </row>
    <row r="163" spans="1:52" x14ac:dyDescent="0.25">
      <c r="A163" s="30" t="s">
        <v>83</v>
      </c>
      <c r="B163" s="27"/>
      <c r="D163" s="24"/>
      <c r="E163" s="24"/>
      <c r="F163" s="24"/>
      <c r="G163" s="24"/>
      <c r="H163" s="24"/>
      <c r="I163" s="24"/>
      <c r="J163" s="28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AX163" s="11"/>
      <c r="AY163" s="11"/>
      <c r="AZ163" s="11"/>
    </row>
    <row r="164" spans="1:52" x14ac:dyDescent="0.25">
      <c r="A164" s="29" t="s">
        <v>84</v>
      </c>
      <c r="B164" s="27"/>
      <c r="D164" s="24"/>
      <c r="E164" s="24"/>
      <c r="F164" s="24"/>
      <c r="G164" s="24"/>
      <c r="H164" s="24"/>
      <c r="I164" s="24"/>
      <c r="J164" s="28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AX164" s="11"/>
      <c r="AY164" s="11"/>
      <c r="AZ164" s="11"/>
    </row>
    <row r="165" spans="1:52" x14ac:dyDescent="0.25">
      <c r="A165" s="26" t="s">
        <v>86</v>
      </c>
      <c r="B165" s="27"/>
      <c r="D165" s="24"/>
      <c r="E165" s="24"/>
      <c r="F165" s="24"/>
      <c r="G165" s="24"/>
      <c r="H165" s="24"/>
      <c r="I165" s="24"/>
      <c r="J165" s="28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AX165" s="11"/>
      <c r="AY165" s="11"/>
      <c r="AZ165" s="11"/>
    </row>
    <row r="166" spans="1:52" x14ac:dyDescent="0.25">
      <c r="A166" s="30" t="s">
        <v>85</v>
      </c>
      <c r="B166" s="27"/>
      <c r="D166" s="24"/>
      <c r="E166" s="24"/>
      <c r="F166" s="24"/>
      <c r="G166" s="24"/>
      <c r="H166" s="24"/>
      <c r="I166" s="24"/>
      <c r="J166" s="28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AX166" s="11"/>
      <c r="AY166" s="11"/>
      <c r="AZ166" s="11"/>
    </row>
    <row r="167" spans="1:52" x14ac:dyDescent="0.25">
      <c r="A167" s="50" t="s">
        <v>87</v>
      </c>
      <c r="B167" s="27"/>
      <c r="D167" s="24"/>
      <c r="E167" s="24"/>
      <c r="F167" s="24"/>
      <c r="G167" s="24"/>
      <c r="H167" s="24"/>
      <c r="I167" s="24"/>
      <c r="J167" s="28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AX167" s="11"/>
      <c r="AY167" s="11"/>
      <c r="AZ167" s="11"/>
    </row>
    <row r="168" spans="1:52" x14ac:dyDescent="0.25">
      <c r="A168" s="30" t="s">
        <v>150</v>
      </c>
      <c r="B168" s="27"/>
      <c r="D168" s="24"/>
      <c r="E168" s="24"/>
      <c r="F168" s="24"/>
      <c r="G168" s="24"/>
      <c r="H168" s="24"/>
      <c r="I168" s="24"/>
      <c r="J168" s="28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AX168" s="11"/>
      <c r="AY168" s="11"/>
      <c r="AZ168" s="11"/>
    </row>
    <row r="169" spans="1:52" x14ac:dyDescent="0.25">
      <c r="A169" s="29" t="s">
        <v>131</v>
      </c>
      <c r="B169" s="27"/>
      <c r="D169" s="24"/>
      <c r="E169" s="24"/>
      <c r="F169" s="24"/>
      <c r="G169" s="24"/>
      <c r="H169" s="24"/>
      <c r="I169" s="24"/>
      <c r="J169" s="28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11"/>
      <c r="AX169" s="11"/>
      <c r="AY169" s="11"/>
      <c r="AZ169" s="11"/>
    </row>
    <row r="170" spans="1:52" x14ac:dyDescent="0.25">
      <c r="A170" s="26" t="s">
        <v>149</v>
      </c>
      <c r="B170" s="27"/>
      <c r="D170" s="24"/>
      <c r="E170" s="24"/>
      <c r="F170" s="24"/>
      <c r="G170" s="24"/>
      <c r="H170" s="24"/>
      <c r="I170" s="24"/>
      <c r="J170" s="28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11"/>
      <c r="AX170" s="11"/>
      <c r="AY170" s="11"/>
      <c r="AZ170" s="11"/>
    </row>
    <row r="171" spans="1:52" x14ac:dyDescent="0.25">
      <c r="A171" s="51" t="s">
        <v>132</v>
      </c>
      <c r="B171" s="27"/>
      <c r="D171" s="24"/>
      <c r="E171" s="24"/>
      <c r="F171" s="24"/>
      <c r="G171" s="24"/>
      <c r="H171" s="24"/>
      <c r="I171" s="24"/>
      <c r="J171" s="28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11"/>
      <c r="AX171" s="11"/>
      <c r="AY171" s="11"/>
      <c r="AZ171" s="11"/>
    </row>
    <row r="172" spans="1:52" x14ac:dyDescent="0.25">
      <c r="A172" s="29" t="s">
        <v>140</v>
      </c>
      <c r="B172" s="27"/>
      <c r="D172" s="24"/>
      <c r="E172" s="24"/>
      <c r="F172" s="24"/>
      <c r="G172" s="24"/>
      <c r="H172" s="24"/>
      <c r="I172" s="24"/>
      <c r="J172" s="28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11"/>
      <c r="AX172" s="11"/>
      <c r="AY172" s="11"/>
      <c r="AZ172" s="11"/>
    </row>
    <row r="173" spans="1:52" x14ac:dyDescent="0.25">
      <c r="A173" s="26" t="s">
        <v>141</v>
      </c>
      <c r="B173" s="27"/>
      <c r="D173" s="24"/>
      <c r="E173" s="24"/>
      <c r="F173" s="24"/>
      <c r="G173" s="24"/>
      <c r="H173" s="24"/>
      <c r="I173" s="24"/>
      <c r="J173" s="28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11"/>
      <c r="AX173" s="11"/>
      <c r="AY173" s="11"/>
      <c r="AZ173" s="11"/>
    </row>
    <row r="174" spans="1:52" x14ac:dyDescent="0.25">
      <c r="A174" s="30" t="s">
        <v>142</v>
      </c>
      <c r="B174" s="27"/>
      <c r="D174" s="24"/>
      <c r="E174" s="24"/>
      <c r="F174" s="24"/>
      <c r="G174" s="24"/>
      <c r="H174" s="24"/>
      <c r="I174" s="24"/>
      <c r="J174" s="28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AX174" s="11"/>
      <c r="AY174" s="11"/>
      <c r="AZ174" s="11"/>
    </row>
    <row r="175" spans="1:52" x14ac:dyDescent="0.25">
      <c r="A175" s="29"/>
      <c r="B175" s="27"/>
      <c r="D175" s="24"/>
      <c r="E175" s="24"/>
      <c r="F175" s="24"/>
      <c r="G175" s="24"/>
      <c r="H175" s="24"/>
      <c r="I175" s="24"/>
      <c r="J175" s="28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AX175" s="11"/>
      <c r="AY175" s="11"/>
      <c r="AZ175" s="11"/>
    </row>
    <row r="176" spans="1:52" x14ac:dyDescent="0.25">
      <c r="A176" s="29" t="s">
        <v>147</v>
      </c>
      <c r="B176" s="27"/>
      <c r="D176" s="24"/>
      <c r="E176" s="57"/>
      <c r="F176" s="24"/>
      <c r="G176" s="24"/>
      <c r="H176" s="24"/>
      <c r="I176" s="24"/>
      <c r="J176" s="28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AX176" s="11"/>
      <c r="AY176" s="11"/>
      <c r="AZ176" s="11"/>
    </row>
    <row r="177" spans="1:52" x14ac:dyDescent="0.25">
      <c r="A177" s="26" t="s">
        <v>148</v>
      </c>
      <c r="B177" s="27"/>
      <c r="D177" s="24"/>
      <c r="E177" s="24"/>
      <c r="F177" s="24"/>
      <c r="G177" s="24"/>
      <c r="H177" s="24"/>
      <c r="I177" s="24"/>
      <c r="J177" s="28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AX177" s="11"/>
      <c r="AY177" s="11"/>
      <c r="AZ177" s="11"/>
    </row>
    <row r="178" spans="1:52" x14ac:dyDescent="0.25">
      <c r="A178" s="30"/>
      <c r="B178" s="27"/>
      <c r="D178" s="24"/>
      <c r="E178" s="24"/>
      <c r="F178" s="24"/>
      <c r="G178" s="24"/>
      <c r="H178" s="24"/>
      <c r="I178" s="24"/>
      <c r="J178" s="28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AX178" s="11"/>
      <c r="AY178" s="11"/>
      <c r="AZ178" s="11"/>
    </row>
    <row r="179" spans="1:52" x14ac:dyDescent="0.25">
      <c r="A179" s="50" t="s">
        <v>90</v>
      </c>
      <c r="B179" s="27"/>
      <c r="D179" s="24"/>
      <c r="E179" s="24"/>
      <c r="F179" s="24"/>
      <c r="G179" s="24"/>
      <c r="H179" s="24"/>
      <c r="I179" s="24"/>
      <c r="J179" s="28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AX179" s="11"/>
      <c r="AY179" s="11"/>
      <c r="AZ179" s="11"/>
    </row>
    <row r="180" spans="1:52" x14ac:dyDescent="0.25">
      <c r="A180" s="30" t="s">
        <v>91</v>
      </c>
      <c r="B180" s="27"/>
      <c r="D180" s="24"/>
      <c r="E180" s="24"/>
      <c r="F180" s="24"/>
      <c r="G180" s="24"/>
      <c r="H180" s="24"/>
      <c r="I180" s="24"/>
      <c r="J180" s="28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AX180" s="11"/>
      <c r="AY180" s="11"/>
      <c r="AZ180" s="11"/>
    </row>
    <row r="181" spans="1:52" x14ac:dyDescent="0.25">
      <c r="A181" s="1"/>
      <c r="B181" s="27"/>
      <c r="D181" s="24"/>
      <c r="E181" s="24"/>
      <c r="F181" s="24"/>
      <c r="G181" s="24"/>
      <c r="H181" s="24"/>
      <c r="I181" s="24"/>
      <c r="J181" s="28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AX181" s="11"/>
      <c r="AY181" s="11"/>
      <c r="AZ181" s="11"/>
    </row>
    <row r="182" spans="1:52" x14ac:dyDescent="0.25">
      <c r="A182" s="50" t="s">
        <v>95</v>
      </c>
      <c r="B182" s="27"/>
      <c r="D182" s="24"/>
      <c r="E182" s="24"/>
      <c r="F182" s="24"/>
      <c r="G182" s="24"/>
      <c r="H182" s="24"/>
      <c r="I182" s="24"/>
      <c r="J182" s="28"/>
      <c r="K182" s="24"/>
      <c r="L182" s="24"/>
      <c r="M182" s="24"/>
      <c r="N182" s="53" t="s">
        <v>99</v>
      </c>
      <c r="O182" s="24"/>
      <c r="P182" s="24"/>
      <c r="Q182" s="24"/>
      <c r="R182" s="24"/>
      <c r="S182" s="24"/>
      <c r="T182" s="24"/>
      <c r="U182" s="24"/>
      <c r="V182" s="24"/>
      <c r="AX182" s="11"/>
      <c r="AY182" s="11"/>
      <c r="AZ182" s="11"/>
    </row>
    <row r="183" spans="1:52" x14ac:dyDescent="0.25">
      <c r="A183" s="1" t="s">
        <v>96</v>
      </c>
      <c r="B183" s="27"/>
      <c r="D183" s="24"/>
      <c r="E183" s="24"/>
      <c r="F183" s="24"/>
      <c r="G183" s="24"/>
      <c r="H183" s="24"/>
      <c r="I183" s="24"/>
      <c r="J183" s="28"/>
      <c r="K183" s="24"/>
      <c r="L183" s="24"/>
      <c r="M183" s="24"/>
      <c r="N183" s="54" t="s">
        <v>100</v>
      </c>
      <c r="O183" s="52"/>
      <c r="P183" s="24"/>
      <c r="Q183" s="24"/>
      <c r="R183" s="24"/>
      <c r="S183" s="52">
        <f>((237-54)/(25440-10279))*100</f>
        <v>1.2070443902117276</v>
      </c>
      <c r="T183" s="24"/>
      <c r="U183" s="24"/>
      <c r="V183" s="24"/>
      <c r="AX183" s="11"/>
      <c r="AY183" s="11"/>
      <c r="AZ183" s="11"/>
    </row>
    <row r="184" spans="1:52" x14ac:dyDescent="0.25">
      <c r="A184" s="51" t="s">
        <v>97</v>
      </c>
      <c r="B184" s="27"/>
      <c r="D184" s="24"/>
      <c r="E184" s="24"/>
      <c r="F184" s="24"/>
      <c r="G184" s="24"/>
      <c r="H184" s="24"/>
      <c r="I184" s="24"/>
      <c r="J184" s="28"/>
      <c r="K184" s="24"/>
      <c r="L184" s="24"/>
      <c r="M184" s="24"/>
      <c r="N184" s="55" t="s">
        <v>102</v>
      </c>
      <c r="O184" s="24"/>
      <c r="P184" s="24"/>
      <c r="Q184" s="24"/>
      <c r="R184" s="24"/>
      <c r="S184" s="1"/>
      <c r="T184" s="1"/>
      <c r="U184" s="1"/>
      <c r="V184" s="24"/>
      <c r="W184" s="1"/>
      <c r="X184" s="1"/>
      <c r="Y184" s="1"/>
      <c r="Z184" s="52">
        <f>((2432-955)/(2567-989))*100</f>
        <v>93.599493029150821</v>
      </c>
      <c r="AA184" s="52">
        <f>(955/989)*100</f>
        <v>96.562184024266941</v>
      </c>
      <c r="AB184" s="52">
        <f>(2432/2567)*100</f>
        <v>94.740942734709776</v>
      </c>
      <c r="AX184" s="11"/>
      <c r="AY184" s="11"/>
      <c r="AZ184" s="11"/>
    </row>
    <row r="185" spans="1:52" x14ac:dyDescent="0.25">
      <c r="A185" s="1"/>
      <c r="B185" s="27"/>
      <c r="D185" s="24"/>
      <c r="E185" s="24"/>
      <c r="F185" s="24"/>
      <c r="G185" s="24"/>
      <c r="H185" s="24"/>
      <c r="I185" s="24"/>
      <c r="J185" s="28"/>
      <c r="K185" s="24"/>
      <c r="L185" s="24"/>
      <c r="M185" s="24"/>
      <c r="N185" s="55" t="s">
        <v>101</v>
      </c>
      <c r="O185" s="24"/>
      <c r="P185" s="24"/>
      <c r="Q185" s="24"/>
      <c r="R185" s="24"/>
      <c r="S185" s="24"/>
      <c r="T185" s="24"/>
      <c r="U185" s="24"/>
      <c r="V185" s="24"/>
      <c r="Z185" s="52">
        <f>((1302-573)/(2567-989))*100</f>
        <v>46.197718631178709</v>
      </c>
      <c r="AA185" s="52">
        <f>(573/989)*100</f>
        <v>57.937310414560159</v>
      </c>
      <c r="AB185" s="52">
        <f>(1302/2567)*100</f>
        <v>50.720685625243476</v>
      </c>
      <c r="AX185" s="11"/>
      <c r="AY185" s="11"/>
      <c r="AZ185" s="11"/>
    </row>
    <row r="186" spans="1:52" x14ac:dyDescent="0.25">
      <c r="A186" s="50" t="s">
        <v>98</v>
      </c>
      <c r="B186" s="27"/>
      <c r="D186" s="24"/>
      <c r="E186" s="24"/>
      <c r="F186" s="24"/>
      <c r="G186" s="24"/>
      <c r="H186" s="24"/>
      <c r="I186" s="24"/>
      <c r="J186" s="28"/>
      <c r="K186" s="24"/>
      <c r="L186" s="24"/>
      <c r="M186" s="24"/>
      <c r="AX186" s="11"/>
      <c r="AY186" s="11"/>
      <c r="AZ186" s="11"/>
    </row>
    <row r="187" spans="1:52" x14ac:dyDescent="0.25">
      <c r="A187" s="1" t="s">
        <v>103</v>
      </c>
      <c r="B187" s="27"/>
      <c r="D187" s="24"/>
      <c r="E187" s="24"/>
      <c r="F187" s="24"/>
      <c r="G187" s="24"/>
      <c r="H187" s="24"/>
      <c r="I187" s="24"/>
      <c r="J187" s="28"/>
      <c r="K187" s="24"/>
      <c r="L187" s="24"/>
      <c r="M187" s="24"/>
      <c r="N187" s="53" t="s">
        <v>105</v>
      </c>
      <c r="O187" s="24"/>
      <c r="P187" s="24"/>
      <c r="Q187" s="24"/>
      <c r="R187" s="24"/>
      <c r="S187" s="24"/>
      <c r="T187" s="24"/>
      <c r="U187" s="24"/>
      <c r="V187" s="24"/>
      <c r="Z187" s="11">
        <f>(5.56/1513.29)*100</f>
        <v>0.36741140164806479</v>
      </c>
      <c r="AA187" s="11">
        <f>(14.35/1513.29)*100</f>
        <v>0.94826503842621057</v>
      </c>
      <c r="AB187" s="11">
        <f>(89.47/1513.29)*100</f>
        <v>5.9122838319158921</v>
      </c>
      <c r="AX187" s="11"/>
      <c r="AY187" s="11"/>
      <c r="AZ187" s="11"/>
    </row>
    <row r="188" spans="1:52" x14ac:dyDescent="0.25">
      <c r="A188" s="51" t="s">
        <v>104</v>
      </c>
      <c r="B188" s="27"/>
      <c r="D188" s="24"/>
      <c r="E188" s="24"/>
      <c r="F188" s="24"/>
      <c r="G188" s="24"/>
      <c r="H188" s="24"/>
      <c r="I188" s="24"/>
      <c r="J188" s="28"/>
      <c r="K188" s="24"/>
      <c r="L188" s="24"/>
      <c r="M188" s="24"/>
      <c r="N188" s="24" t="s">
        <v>106</v>
      </c>
      <c r="O188" s="24"/>
      <c r="P188" s="24"/>
      <c r="Q188" s="24"/>
      <c r="R188" s="24"/>
      <c r="S188" s="24"/>
      <c r="T188" s="24"/>
      <c r="U188" s="24"/>
      <c r="V188" s="24"/>
      <c r="AX188" s="11"/>
      <c r="AY188" s="11"/>
      <c r="AZ188" s="11"/>
    </row>
    <row r="189" spans="1:52" x14ac:dyDescent="0.25">
      <c r="A189" s="1"/>
      <c r="B189" s="27"/>
      <c r="D189" s="24"/>
      <c r="E189" s="24"/>
      <c r="F189" s="24"/>
      <c r="G189" s="24"/>
      <c r="H189" s="24"/>
      <c r="I189" s="24"/>
      <c r="J189" s="28"/>
      <c r="K189" s="24"/>
      <c r="L189" s="24"/>
      <c r="M189" s="24"/>
      <c r="N189" s="24" t="s">
        <v>107</v>
      </c>
      <c r="O189" s="24"/>
      <c r="P189" s="24"/>
      <c r="Q189" s="24"/>
      <c r="R189" s="24"/>
      <c r="S189" s="24"/>
      <c r="T189" s="24"/>
      <c r="U189" s="24"/>
      <c r="V189" s="24"/>
      <c r="AX189" s="11"/>
      <c r="AY189" s="11"/>
      <c r="AZ189" s="11"/>
    </row>
    <row r="190" spans="1:52" x14ac:dyDescent="0.25">
      <c r="A190" s="1"/>
      <c r="B190" s="27"/>
      <c r="D190" s="24"/>
      <c r="E190" s="24"/>
      <c r="F190" s="24"/>
      <c r="G190" s="24"/>
      <c r="H190" s="24"/>
      <c r="I190" s="24"/>
      <c r="J190" s="28"/>
      <c r="K190" s="24"/>
      <c r="L190" s="24"/>
      <c r="M190" s="24"/>
      <c r="N190" s="24" t="s">
        <v>108</v>
      </c>
      <c r="O190" s="24"/>
      <c r="P190" s="24"/>
      <c r="Q190" s="24"/>
      <c r="R190" s="24"/>
      <c r="S190" s="24"/>
      <c r="T190" s="24"/>
      <c r="U190" s="24"/>
      <c r="V190" s="24"/>
      <c r="AX190" s="11"/>
      <c r="AY190" s="11"/>
      <c r="AZ190" s="11"/>
    </row>
    <row r="191" spans="1:52" x14ac:dyDescent="0.25">
      <c r="A191" s="1"/>
      <c r="B191" s="27"/>
      <c r="D191" s="24"/>
      <c r="E191" s="24"/>
      <c r="F191" s="24"/>
      <c r="G191" s="24"/>
      <c r="H191" s="24"/>
      <c r="I191" s="24"/>
      <c r="J191" s="28"/>
      <c r="K191" s="24"/>
      <c r="L191" s="24"/>
      <c r="M191" s="24"/>
      <c r="N191" s="24" t="s">
        <v>109</v>
      </c>
      <c r="O191" s="24"/>
      <c r="P191" s="24"/>
      <c r="Q191" s="24"/>
      <c r="R191" s="24"/>
      <c r="S191" s="24"/>
      <c r="T191" s="24"/>
      <c r="U191" s="24"/>
      <c r="V191" s="24"/>
      <c r="AX191" s="11"/>
      <c r="AY191" s="11"/>
      <c r="AZ191" s="11"/>
    </row>
    <row r="192" spans="1:52" x14ac:dyDescent="0.25">
      <c r="A192" s="1"/>
      <c r="B192" s="27"/>
      <c r="D192" s="24"/>
      <c r="E192" s="24"/>
      <c r="F192" s="24"/>
      <c r="G192" s="24"/>
      <c r="H192" s="24"/>
      <c r="I192" s="24"/>
      <c r="J192" s="28"/>
      <c r="K192" s="24"/>
      <c r="L192" s="24"/>
      <c r="M192" s="24"/>
      <c r="N192" s="24" t="s">
        <v>110</v>
      </c>
      <c r="O192" s="24"/>
      <c r="P192" s="24"/>
      <c r="Q192" s="24"/>
      <c r="R192" s="24"/>
      <c r="S192" s="24"/>
      <c r="T192" s="24"/>
      <c r="U192" s="24"/>
      <c r="V192" s="24"/>
      <c r="AX192" s="11"/>
      <c r="AY192" s="11"/>
      <c r="AZ192" s="11"/>
    </row>
    <row r="193" spans="1:52" x14ac:dyDescent="0.25">
      <c r="A193" s="50" t="s">
        <v>111</v>
      </c>
      <c r="B193" s="27"/>
      <c r="D193" s="24"/>
      <c r="E193" s="24"/>
      <c r="F193" s="24"/>
      <c r="G193" s="24"/>
      <c r="H193" s="24"/>
      <c r="I193" s="24"/>
      <c r="J193" s="28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AX193" s="11"/>
      <c r="AY193" s="11"/>
      <c r="AZ193" s="11"/>
    </row>
    <row r="194" spans="1:52" x14ac:dyDescent="0.25">
      <c r="A194" s="1" t="s">
        <v>112</v>
      </c>
      <c r="B194" s="27"/>
      <c r="D194" s="24"/>
      <c r="E194" s="24"/>
      <c r="F194" s="24"/>
      <c r="G194" s="24"/>
      <c r="H194" s="24"/>
      <c r="I194" s="24"/>
      <c r="J194" s="28"/>
      <c r="K194" s="24"/>
      <c r="L194" s="24"/>
      <c r="M194" s="24"/>
      <c r="N194" s="24" t="s">
        <v>114</v>
      </c>
      <c r="O194" s="24"/>
      <c r="P194" s="24"/>
      <c r="Q194" s="24"/>
      <c r="R194" s="24"/>
      <c r="S194" s="24"/>
      <c r="T194" s="24"/>
      <c r="U194" s="24"/>
      <c r="V194" s="24"/>
      <c r="AX194" s="11"/>
      <c r="AY194" s="11"/>
      <c r="AZ194" s="11"/>
    </row>
    <row r="195" spans="1:52" x14ac:dyDescent="0.25">
      <c r="A195" s="51" t="s">
        <v>113</v>
      </c>
      <c r="B195" s="27"/>
      <c r="D195" s="24"/>
      <c r="E195" s="24"/>
      <c r="F195" s="24"/>
      <c r="G195" s="24"/>
      <c r="H195" s="24"/>
      <c r="I195" s="24"/>
      <c r="J195" s="28"/>
      <c r="K195" s="24"/>
      <c r="L195" s="24"/>
      <c r="M195" s="24"/>
      <c r="N195" s="24" t="s">
        <v>118</v>
      </c>
      <c r="O195" s="24"/>
      <c r="P195" s="24"/>
      <c r="Q195" s="24"/>
      <c r="R195" s="24"/>
      <c r="S195" s="24"/>
      <c r="T195" s="24"/>
      <c r="U195" s="24"/>
      <c r="V195" s="24"/>
      <c r="AX195" s="11"/>
      <c r="AY195" s="11"/>
      <c r="AZ195" s="11"/>
    </row>
    <row r="196" spans="1:52" x14ac:dyDescent="0.25">
      <c r="A196" s="1"/>
      <c r="B196" s="27"/>
      <c r="D196" s="24"/>
      <c r="E196" s="24"/>
      <c r="F196" s="24"/>
      <c r="G196" s="24"/>
      <c r="H196" s="24"/>
      <c r="I196" s="24"/>
      <c r="J196" s="28"/>
      <c r="K196" s="24"/>
      <c r="L196" s="24"/>
      <c r="M196" s="24"/>
      <c r="N196" s="24" t="s">
        <v>115</v>
      </c>
      <c r="O196" s="24"/>
      <c r="P196" s="24"/>
      <c r="Q196" s="24"/>
      <c r="R196" s="24"/>
      <c r="S196" s="24"/>
      <c r="T196" s="24"/>
      <c r="U196" s="24"/>
      <c r="V196" s="24"/>
      <c r="AX196" s="11"/>
      <c r="AY196" s="11"/>
      <c r="AZ196" s="11"/>
    </row>
    <row r="197" spans="1:52" x14ac:dyDescent="0.25">
      <c r="A197" s="1"/>
      <c r="B197" s="27"/>
      <c r="D197" s="24"/>
      <c r="E197" s="24"/>
      <c r="F197" s="24"/>
      <c r="G197" s="24"/>
      <c r="H197" s="24"/>
      <c r="I197" s="24"/>
      <c r="J197" s="28"/>
      <c r="K197" s="24"/>
      <c r="L197" s="24"/>
      <c r="M197" s="24"/>
      <c r="N197" s="24" t="s">
        <v>116</v>
      </c>
      <c r="O197" s="24"/>
      <c r="P197" s="24"/>
      <c r="Q197" s="24"/>
      <c r="R197" s="24"/>
      <c r="S197" s="24"/>
      <c r="T197" s="24"/>
      <c r="U197" s="24"/>
      <c r="V197" s="24"/>
      <c r="Z197" s="11">
        <f>7.2+2.7+7.8</f>
        <v>17.7</v>
      </c>
      <c r="AA197" s="11">
        <f>7.4+2.6+7.8</f>
        <v>17.8</v>
      </c>
      <c r="AB197" s="11">
        <f>3.7+5+7.7</f>
        <v>16.399999999999999</v>
      </c>
      <c r="AX197" s="11"/>
      <c r="AY197" s="11"/>
      <c r="AZ197" s="11"/>
    </row>
    <row r="198" spans="1:52" x14ac:dyDescent="0.25">
      <c r="A198" s="1"/>
      <c r="B198" s="27"/>
      <c r="D198" s="24"/>
      <c r="E198" s="24"/>
      <c r="F198" s="24"/>
      <c r="G198" s="24"/>
      <c r="H198" s="24"/>
      <c r="I198" s="24"/>
      <c r="J198" s="28"/>
      <c r="K198" s="24"/>
      <c r="L198" s="24"/>
      <c r="M198" s="24"/>
      <c r="N198" s="24" t="s">
        <v>117</v>
      </c>
      <c r="O198" s="24"/>
      <c r="P198" s="24"/>
      <c r="Q198" s="24"/>
      <c r="R198" s="24"/>
      <c r="S198" s="24"/>
      <c r="T198" s="24"/>
      <c r="U198" s="24"/>
      <c r="V198" s="24"/>
      <c r="Z198" s="11">
        <f>(32/1524)*100</f>
        <v>2.0997375328083989</v>
      </c>
      <c r="AA198" s="11">
        <f>(32/1546)*100</f>
        <v>2.0698576972833118</v>
      </c>
      <c r="AB198" s="11">
        <f>(21/1008)*100</f>
        <v>2.083333333333333</v>
      </c>
      <c r="AX198" s="11"/>
      <c r="AY198" s="11"/>
      <c r="AZ198" s="11"/>
    </row>
    <row r="199" spans="1:52" x14ac:dyDescent="0.25">
      <c r="A199" s="1"/>
      <c r="B199" s="27"/>
      <c r="D199" s="24"/>
      <c r="E199" s="24"/>
      <c r="F199" s="24"/>
      <c r="G199" s="24"/>
      <c r="H199" s="24"/>
      <c r="I199" s="24"/>
      <c r="J199" s="28"/>
      <c r="K199" s="24"/>
      <c r="L199" s="24"/>
      <c r="M199" s="24"/>
      <c r="N199" s="48" t="s">
        <v>123</v>
      </c>
      <c r="O199" s="24"/>
      <c r="P199" s="24"/>
      <c r="Q199" s="24"/>
      <c r="R199" s="24"/>
      <c r="S199" s="24"/>
      <c r="T199" s="24"/>
      <c r="U199" s="24"/>
      <c r="V199" s="24"/>
      <c r="AX199" s="11"/>
      <c r="AY199" s="11"/>
      <c r="AZ199" s="11"/>
    </row>
    <row r="200" spans="1:52" x14ac:dyDescent="0.25">
      <c r="A200" s="1"/>
      <c r="B200" s="27"/>
      <c r="D200" s="24"/>
      <c r="E200" s="24"/>
      <c r="F200" s="24"/>
      <c r="G200" s="24"/>
      <c r="H200" s="24"/>
      <c r="I200" s="24"/>
      <c r="J200" s="28"/>
      <c r="K200" s="24"/>
      <c r="L200" s="24"/>
      <c r="M200" s="73" t="s">
        <v>120</v>
      </c>
      <c r="N200" s="24" t="s">
        <v>119</v>
      </c>
      <c r="O200" s="24"/>
      <c r="P200" s="24"/>
      <c r="Q200" s="24"/>
      <c r="R200" s="24"/>
      <c r="S200" s="24"/>
      <c r="T200" s="24"/>
      <c r="U200" s="24"/>
      <c r="V200" s="24"/>
      <c r="AX200" s="11"/>
      <c r="AY200" s="11"/>
      <c r="AZ200" s="11"/>
    </row>
    <row r="201" spans="1:52" x14ac:dyDescent="0.25">
      <c r="A201" s="1"/>
      <c r="B201" s="27"/>
      <c r="D201" s="24"/>
      <c r="E201" s="24"/>
      <c r="F201" s="24"/>
      <c r="G201" s="24"/>
      <c r="H201" s="24"/>
      <c r="I201" s="24"/>
      <c r="J201" s="28"/>
      <c r="K201" s="24"/>
      <c r="L201" s="24"/>
      <c r="M201" s="74"/>
      <c r="N201" s="24" t="s">
        <v>125</v>
      </c>
      <c r="O201" s="24"/>
      <c r="P201" s="24"/>
      <c r="Q201" s="24"/>
      <c r="R201" s="24"/>
      <c r="S201" s="24"/>
      <c r="T201" s="24"/>
      <c r="U201" s="24"/>
      <c r="V201" s="24"/>
      <c r="AX201" s="11"/>
      <c r="AY201" s="11"/>
      <c r="AZ201" s="11"/>
    </row>
    <row r="202" spans="1:52" x14ac:dyDescent="0.25">
      <c r="A202" s="1"/>
      <c r="B202" s="27"/>
      <c r="D202" s="24"/>
      <c r="E202" s="24"/>
      <c r="F202" s="24"/>
      <c r="G202" s="24"/>
      <c r="H202" s="24"/>
      <c r="I202" s="24"/>
      <c r="J202" s="28"/>
      <c r="K202" s="24"/>
      <c r="L202" s="24"/>
      <c r="M202" s="74"/>
      <c r="N202" s="24" t="s">
        <v>121</v>
      </c>
      <c r="O202" s="24"/>
      <c r="P202" s="24"/>
      <c r="Q202" s="24"/>
      <c r="R202" s="24"/>
      <c r="S202" s="24"/>
      <c r="T202" s="24"/>
      <c r="U202" s="24"/>
      <c r="V202" s="24"/>
      <c r="AX202" s="11"/>
      <c r="AY202" s="11"/>
      <c r="AZ202" s="11"/>
    </row>
    <row r="203" spans="1:52" x14ac:dyDescent="0.25">
      <c r="A203" s="1"/>
      <c r="B203" s="27"/>
      <c r="D203" s="24"/>
      <c r="E203" s="24"/>
      <c r="F203" s="24"/>
      <c r="G203" s="24"/>
      <c r="H203" s="24"/>
      <c r="I203" s="24"/>
      <c r="J203" s="28"/>
      <c r="K203" s="24"/>
      <c r="L203" s="24"/>
      <c r="M203" s="74"/>
      <c r="N203" s="24" t="s">
        <v>126</v>
      </c>
      <c r="O203" s="24"/>
      <c r="P203" s="24"/>
      <c r="Q203" s="24"/>
      <c r="R203" s="24"/>
      <c r="S203" s="24"/>
      <c r="T203" s="24"/>
      <c r="U203" s="24"/>
      <c r="V203" s="24"/>
      <c r="AX203" s="11"/>
      <c r="AY203" s="11"/>
      <c r="AZ203" s="11"/>
    </row>
    <row r="204" spans="1:52" x14ac:dyDescent="0.25">
      <c r="A204" s="1"/>
      <c r="B204" s="27"/>
      <c r="D204" s="24"/>
      <c r="E204" s="24"/>
      <c r="F204" s="24"/>
      <c r="G204" s="24"/>
      <c r="H204" s="24"/>
      <c r="I204" s="24"/>
      <c r="J204" s="28"/>
      <c r="K204" s="24"/>
      <c r="L204" s="24"/>
      <c r="M204" s="74"/>
      <c r="N204" s="24" t="s">
        <v>127</v>
      </c>
      <c r="O204" s="24"/>
      <c r="P204" s="24"/>
      <c r="Q204" s="24"/>
      <c r="R204" s="24"/>
      <c r="S204" s="24"/>
      <c r="T204" s="24"/>
      <c r="U204" s="24"/>
      <c r="V204" s="24"/>
      <c r="AX204" s="11"/>
      <c r="AY204" s="11"/>
      <c r="AZ204" s="11"/>
    </row>
    <row r="205" spans="1:52" x14ac:dyDescent="0.25">
      <c r="A205" s="1"/>
      <c r="B205" s="27"/>
      <c r="D205" s="24"/>
      <c r="E205" s="24"/>
      <c r="F205" s="24"/>
      <c r="G205" s="24"/>
      <c r="H205" s="24"/>
      <c r="I205" s="24"/>
      <c r="J205" s="28"/>
      <c r="K205" s="24"/>
      <c r="L205" s="24"/>
      <c r="M205" s="75"/>
      <c r="N205" s="24" t="s">
        <v>122</v>
      </c>
      <c r="O205" s="24"/>
      <c r="P205" s="24"/>
      <c r="Q205" s="24"/>
      <c r="R205" s="24"/>
      <c r="S205" s="24"/>
      <c r="T205" s="24"/>
      <c r="U205" s="24"/>
      <c r="V205" s="24"/>
      <c r="AX205" s="11"/>
      <c r="AY205" s="11"/>
      <c r="AZ205" s="11"/>
    </row>
    <row r="206" spans="1:52" x14ac:dyDescent="0.25">
      <c r="A206" s="1"/>
      <c r="B206" s="27"/>
      <c r="D206" s="24"/>
      <c r="E206" s="24"/>
      <c r="F206" s="24"/>
      <c r="G206" s="24"/>
      <c r="H206" s="24"/>
      <c r="I206" s="24"/>
      <c r="J206" s="28"/>
      <c r="K206" s="24"/>
      <c r="L206" s="24"/>
      <c r="M206" s="24"/>
      <c r="N206" s="24" t="s">
        <v>124</v>
      </c>
      <c r="O206" s="24"/>
      <c r="P206" s="24"/>
      <c r="Q206" s="24"/>
      <c r="R206" s="24"/>
      <c r="S206" s="24"/>
      <c r="T206" s="24"/>
      <c r="U206" s="24"/>
      <c r="V206" s="24"/>
      <c r="AX206" s="11"/>
      <c r="AY206" s="11"/>
      <c r="AZ206" s="11"/>
    </row>
    <row r="207" spans="1:52" x14ac:dyDescent="0.25">
      <c r="A207" s="50" t="s">
        <v>137</v>
      </c>
      <c r="B207" s="27"/>
      <c r="D207" s="24"/>
      <c r="E207" s="24"/>
      <c r="F207" s="24"/>
      <c r="G207" s="24"/>
      <c r="H207" s="24"/>
      <c r="I207" s="24"/>
      <c r="J207" s="28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AX207" s="11"/>
      <c r="AY207" s="11"/>
      <c r="AZ207" s="11"/>
    </row>
    <row r="208" spans="1:52" x14ac:dyDescent="0.25">
      <c r="A208" s="1" t="s">
        <v>138</v>
      </c>
      <c r="B208" s="27"/>
      <c r="D208" s="24"/>
      <c r="E208" s="24"/>
      <c r="F208" s="24"/>
      <c r="G208" s="24"/>
      <c r="H208" s="24"/>
      <c r="I208" s="24"/>
      <c r="J208" s="28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AX208" s="11"/>
      <c r="AY208" s="11"/>
      <c r="AZ208" s="11"/>
    </row>
    <row r="209" spans="1:52" x14ac:dyDescent="0.25">
      <c r="A209" s="1"/>
      <c r="B209" s="27"/>
      <c r="D209" s="24"/>
      <c r="E209" s="24"/>
      <c r="F209" s="24"/>
      <c r="G209" s="24"/>
      <c r="H209" s="24"/>
      <c r="I209" s="24"/>
      <c r="J209" s="28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AX209" s="11"/>
      <c r="AY209" s="11"/>
      <c r="AZ209" s="11"/>
    </row>
    <row r="210" spans="1:52" x14ac:dyDescent="0.25">
      <c r="A210" s="1"/>
      <c r="B210" s="27"/>
      <c r="D210" s="24"/>
      <c r="E210" s="24"/>
      <c r="F210" s="24"/>
      <c r="G210" s="24"/>
      <c r="H210" s="24"/>
      <c r="I210" s="24"/>
      <c r="J210" s="28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AX210" s="11"/>
      <c r="AY210" s="11"/>
      <c r="AZ210" s="11"/>
    </row>
    <row r="211" spans="1:52" x14ac:dyDescent="0.25">
      <c r="A211" s="1"/>
      <c r="B211" s="27"/>
      <c r="D211" s="24"/>
      <c r="E211" s="24"/>
      <c r="F211" s="24"/>
      <c r="G211" s="24"/>
      <c r="H211" s="24"/>
      <c r="I211" s="24"/>
      <c r="J211" s="28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AX211" s="11"/>
      <c r="AY211" s="11"/>
      <c r="AZ211" s="11"/>
    </row>
    <row r="212" spans="1:52" x14ac:dyDescent="0.25">
      <c r="A212" s="1"/>
      <c r="B212" s="27"/>
      <c r="D212" s="24"/>
      <c r="E212" s="24"/>
      <c r="F212" s="24"/>
      <c r="G212" s="24"/>
      <c r="H212" s="24"/>
      <c r="I212" s="24"/>
      <c r="J212" s="28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AX212" s="11"/>
      <c r="AY212" s="11"/>
      <c r="AZ212" s="11"/>
    </row>
    <row r="213" spans="1:52" x14ac:dyDescent="0.25">
      <c r="A213" s="1"/>
      <c r="B213" s="27"/>
      <c r="D213" s="24"/>
      <c r="E213" s="24"/>
      <c r="F213" s="24"/>
      <c r="G213" s="24"/>
      <c r="H213" s="24"/>
      <c r="I213" s="24"/>
      <c r="J213" s="28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AX213" s="11"/>
      <c r="AY213" s="11"/>
      <c r="AZ213" s="11"/>
    </row>
    <row r="214" spans="1:52" x14ac:dyDescent="0.25">
      <c r="A214" s="1"/>
      <c r="B214" s="27"/>
      <c r="D214" s="24"/>
      <c r="E214" s="24"/>
      <c r="F214" s="24"/>
      <c r="G214" s="24"/>
      <c r="H214" s="24"/>
      <c r="I214" s="24"/>
      <c r="J214" s="28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AX214" s="11"/>
      <c r="AY214" s="11"/>
      <c r="AZ214" s="11"/>
    </row>
    <row r="215" spans="1:52" x14ac:dyDescent="0.25">
      <c r="A215" s="29" t="s">
        <v>57</v>
      </c>
      <c r="B215" s="27"/>
      <c r="D215" s="24"/>
      <c r="E215" s="24"/>
      <c r="F215" s="24"/>
      <c r="G215" s="24"/>
      <c r="H215" s="24"/>
      <c r="I215" s="24"/>
      <c r="J215" s="28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AX215" s="11"/>
      <c r="AY215" s="11"/>
      <c r="AZ215" s="11"/>
    </row>
    <row r="216" spans="1:52" x14ac:dyDescent="0.25">
      <c r="A216" s="30" t="s">
        <v>58</v>
      </c>
      <c r="B216" s="27"/>
      <c r="D216" s="24"/>
      <c r="E216" s="24"/>
      <c r="F216" s="24"/>
      <c r="G216" s="24"/>
      <c r="H216" s="24"/>
      <c r="I216" s="24"/>
      <c r="J216" s="28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AX216" s="11"/>
      <c r="AY216" s="11"/>
      <c r="AZ216" s="11"/>
    </row>
    <row r="218" spans="1:52" ht="45" x14ac:dyDescent="0.25">
      <c r="A218" s="4" t="s">
        <v>61</v>
      </c>
      <c r="B218" s="12" t="s">
        <v>77</v>
      </c>
      <c r="C218" s="12" t="s">
        <v>65</v>
      </c>
      <c r="D218" s="35" t="s">
        <v>66</v>
      </c>
      <c r="E218" s="5" t="s">
        <v>67</v>
      </c>
      <c r="F218" s="5" t="s">
        <v>68</v>
      </c>
      <c r="G218" s="5" t="s">
        <v>69</v>
      </c>
      <c r="H218" s="5" t="s">
        <v>70</v>
      </c>
      <c r="I218" s="5" t="s">
        <v>71</v>
      </c>
      <c r="J218" s="5" t="s">
        <v>72</v>
      </c>
      <c r="K218" s="36" t="s">
        <v>73</v>
      </c>
    </row>
    <row r="219" spans="1:52" s="24" customFormat="1" x14ac:dyDescent="0.25">
      <c r="A219" s="46" t="s">
        <v>62</v>
      </c>
      <c r="B219" s="47">
        <v>39287</v>
      </c>
      <c r="C219" s="47">
        <f>6047+117</f>
        <v>6164</v>
      </c>
      <c r="D219" s="15">
        <v>7147</v>
      </c>
      <c r="E219" s="7">
        <v>6195</v>
      </c>
      <c r="F219" s="7">
        <v>5772</v>
      </c>
      <c r="G219" s="58">
        <v>8306</v>
      </c>
      <c r="H219" s="59"/>
      <c r="I219" s="7">
        <v>4139</v>
      </c>
      <c r="J219" s="7">
        <v>1115</v>
      </c>
      <c r="K219" s="37">
        <v>449</v>
      </c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48"/>
      <c r="AB219" s="28"/>
      <c r="AX219" s="7"/>
      <c r="AY219" s="7"/>
      <c r="AZ219" s="7"/>
    </row>
    <row r="220" spans="1:52" x14ac:dyDescent="0.25">
      <c r="C220" s="14"/>
      <c r="D220" s="15"/>
      <c r="J220" s="7"/>
      <c r="K220" s="37"/>
    </row>
    <row r="221" spans="1:52" s="11" customFormat="1" x14ac:dyDescent="0.25">
      <c r="A221" s="31" t="s">
        <v>63</v>
      </c>
      <c r="B221" s="11">
        <f>((C221*$C$219)+(D221*$D$219)+(E221*$E$219)+(F221*$F$219)+(M221*$G$219)+(I221*$I$219)+(J221*$J$219)+(K221*$K$219))/$B$219</f>
        <v>85.58178277801818</v>
      </c>
      <c r="C221" s="32">
        <v>52</v>
      </c>
      <c r="D221" s="33">
        <v>75.5</v>
      </c>
      <c r="E221" s="23">
        <v>90.6</v>
      </c>
      <c r="F221" s="23">
        <v>97</v>
      </c>
      <c r="G221" s="23">
        <v>97.8</v>
      </c>
      <c r="H221" s="23">
        <v>98</v>
      </c>
      <c r="I221" s="23">
        <v>99.4</v>
      </c>
      <c r="J221" s="23">
        <v>100</v>
      </c>
      <c r="K221" s="34">
        <v>100</v>
      </c>
      <c r="L221" s="23"/>
      <c r="M221" s="23">
        <f>(G221+H221)/2</f>
        <v>97.9</v>
      </c>
      <c r="N221" s="23"/>
      <c r="O221" s="23"/>
      <c r="P221" s="23"/>
      <c r="Q221" s="23"/>
      <c r="R221" s="23"/>
      <c r="S221" s="23"/>
      <c r="T221" s="23"/>
      <c r="U221" s="23"/>
      <c r="V221" s="23"/>
      <c r="W221" s="21"/>
      <c r="AB221" s="20"/>
      <c r="AX221" s="23"/>
      <c r="AY221" s="23"/>
      <c r="AZ221" s="23"/>
    </row>
    <row r="222" spans="1:52" s="11" customFormat="1" x14ac:dyDescent="0.25">
      <c r="A222" s="31" t="s">
        <v>64</v>
      </c>
      <c r="B222" s="11">
        <f t="shared" ref="B222:B226" si="64">((C222*$C$219)+(D222*$D$219)+(E222*$E$219)+(F222*$F$219)+(M222*$G$219)+(I222*$I$219)+(J222*$J$219)+(K222*$K$219))/$B$219</f>
        <v>83.972181637691875</v>
      </c>
      <c r="C222" s="32">
        <v>48.5</v>
      </c>
      <c r="D222" s="33">
        <v>74.400000000000006</v>
      </c>
      <c r="E222" s="23">
        <v>87</v>
      </c>
      <c r="F222" s="23">
        <v>97.4</v>
      </c>
      <c r="G222" s="23">
        <v>97.4</v>
      </c>
      <c r="H222" s="23">
        <v>95.7</v>
      </c>
      <c r="I222" s="23">
        <v>99.5</v>
      </c>
      <c r="J222" s="23">
        <v>100</v>
      </c>
      <c r="K222" s="34">
        <v>93.3</v>
      </c>
      <c r="L222" s="23"/>
      <c r="M222" s="23">
        <f t="shared" ref="M222:M226" si="65">(G222+H222)/2</f>
        <v>96.550000000000011</v>
      </c>
      <c r="N222" s="23"/>
      <c r="O222" s="23"/>
      <c r="P222" s="23"/>
      <c r="Q222" s="23"/>
      <c r="R222" s="23"/>
      <c r="S222" s="23"/>
      <c r="T222" s="23"/>
      <c r="U222" s="23"/>
      <c r="V222" s="23"/>
      <c r="W222" s="21"/>
      <c r="AB222" s="20"/>
      <c r="AX222" s="23"/>
      <c r="AY222" s="23"/>
      <c r="AZ222" s="23"/>
    </row>
    <row r="223" spans="1:52" s="11" customFormat="1" x14ac:dyDescent="0.25">
      <c r="A223" s="31"/>
      <c r="C223" s="32"/>
      <c r="D223" s="33"/>
      <c r="E223" s="23"/>
      <c r="F223" s="23"/>
      <c r="G223" s="23"/>
      <c r="H223" s="23"/>
      <c r="I223" s="23"/>
      <c r="J223" s="23"/>
      <c r="K223" s="34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1"/>
      <c r="AB223" s="20"/>
      <c r="AX223" s="23"/>
      <c r="AY223" s="23"/>
      <c r="AZ223" s="23"/>
    </row>
    <row r="224" spans="1:52" s="11" customFormat="1" ht="30" x14ac:dyDescent="0.25">
      <c r="A224" s="31" t="s">
        <v>79</v>
      </c>
      <c r="B224" s="11">
        <f t="shared" si="64"/>
        <v>47.083913253748058</v>
      </c>
      <c r="C224" s="32">
        <v>12.2</v>
      </c>
      <c r="D224" s="33">
        <v>20.7</v>
      </c>
      <c r="E224" s="23">
        <v>42.2</v>
      </c>
      <c r="F224" s="23">
        <v>51.5</v>
      </c>
      <c r="G224" s="23">
        <v>72.7</v>
      </c>
      <c r="H224" s="23">
        <v>69.599999999999994</v>
      </c>
      <c r="I224" s="23">
        <v>81.3</v>
      </c>
      <c r="J224" s="23">
        <v>88.1</v>
      </c>
      <c r="K224" s="34">
        <v>94.1</v>
      </c>
      <c r="L224" s="23"/>
      <c r="M224" s="23">
        <f t="shared" si="65"/>
        <v>71.150000000000006</v>
      </c>
      <c r="N224" s="23"/>
      <c r="O224" s="23"/>
      <c r="P224" s="23"/>
      <c r="Q224" s="23"/>
      <c r="R224" s="23"/>
      <c r="S224" s="23"/>
      <c r="T224" s="23"/>
      <c r="U224" s="23"/>
      <c r="V224" s="23"/>
      <c r="W224" s="21"/>
      <c r="AB224" s="20"/>
      <c r="AX224" s="23"/>
      <c r="AY224" s="23"/>
      <c r="AZ224" s="23"/>
    </row>
    <row r="225" spans="1:52" s="39" customFormat="1" x14ac:dyDescent="0.25">
      <c r="A225" s="38"/>
      <c r="B225" s="11"/>
      <c r="C225" s="40"/>
      <c r="D225" s="41"/>
      <c r="E225" s="41"/>
      <c r="F225" s="41"/>
      <c r="G225" s="41"/>
      <c r="H225" s="41"/>
      <c r="I225" s="41"/>
      <c r="J225" s="42"/>
      <c r="K225" s="41"/>
      <c r="L225" s="41"/>
      <c r="M225" s="23"/>
      <c r="N225" s="41"/>
      <c r="O225" s="41"/>
      <c r="P225" s="41"/>
      <c r="Q225" s="41"/>
      <c r="R225" s="41"/>
      <c r="S225" s="41"/>
      <c r="T225" s="41"/>
      <c r="U225" s="41"/>
      <c r="V225" s="41"/>
      <c r="W225" s="43"/>
      <c r="AB225" s="44"/>
      <c r="AX225" s="41"/>
      <c r="AY225" s="41"/>
      <c r="AZ225" s="41"/>
    </row>
    <row r="226" spans="1:52" s="39" customFormat="1" x14ac:dyDescent="0.25">
      <c r="A226" s="43" t="s">
        <v>81</v>
      </c>
      <c r="B226" s="11">
        <f t="shared" si="64"/>
        <v>8.5183470359151876</v>
      </c>
      <c r="C226" s="32">
        <v>1</v>
      </c>
      <c r="D226" s="33">
        <v>2.6</v>
      </c>
      <c r="E226" s="23">
        <v>6.7</v>
      </c>
      <c r="F226" s="23">
        <v>5.0999999999999996</v>
      </c>
      <c r="G226" s="23">
        <v>8.6999999999999993</v>
      </c>
      <c r="H226" s="23">
        <v>17.600000000000001</v>
      </c>
      <c r="I226" s="23">
        <v>21.1</v>
      </c>
      <c r="J226" s="23">
        <v>26.2</v>
      </c>
      <c r="K226" s="34">
        <v>29.4</v>
      </c>
      <c r="L226" s="23"/>
      <c r="M226" s="23">
        <f t="shared" si="65"/>
        <v>13.15</v>
      </c>
      <c r="N226" s="41"/>
      <c r="O226" s="41"/>
      <c r="P226" s="41"/>
      <c r="Q226" s="41"/>
      <c r="R226" s="41"/>
      <c r="S226" s="41"/>
      <c r="T226" s="41"/>
      <c r="U226" s="41"/>
      <c r="V226" s="41"/>
      <c r="W226" s="43"/>
      <c r="AB226" s="44"/>
      <c r="AX226" s="41"/>
      <c r="AY226" s="41"/>
      <c r="AZ226" s="41"/>
    </row>
    <row r="227" spans="1:52" s="39" customFormat="1" x14ac:dyDescent="0.25">
      <c r="N227" s="41"/>
      <c r="O227" s="41"/>
      <c r="P227" s="41"/>
      <c r="Q227" s="41"/>
      <c r="R227" s="41"/>
      <c r="S227" s="41"/>
      <c r="T227" s="41"/>
      <c r="U227" s="41"/>
      <c r="V227" s="41"/>
      <c r="W227" s="43"/>
      <c r="AB227" s="44"/>
      <c r="AX227" s="41"/>
      <c r="AY227" s="41"/>
      <c r="AZ227" s="41"/>
    </row>
    <row r="228" spans="1:52" s="39" customFormat="1" x14ac:dyDescent="0.25">
      <c r="N228" s="41"/>
      <c r="O228" s="41"/>
      <c r="P228" s="41"/>
      <c r="Q228" s="41"/>
      <c r="R228" s="41"/>
      <c r="S228" s="41"/>
      <c r="T228" s="41"/>
      <c r="U228" s="41"/>
      <c r="V228" s="41"/>
      <c r="W228" s="43"/>
      <c r="AB228" s="44"/>
      <c r="AX228" s="41"/>
      <c r="AY228" s="41"/>
      <c r="AZ228" s="41"/>
    </row>
    <row r="229" spans="1:52" s="39" customFormat="1" ht="30" x14ac:dyDescent="0.25">
      <c r="A229" s="38" t="s">
        <v>78</v>
      </c>
      <c r="B229" s="39">
        <f>((C229*$C$219)+(D229*$D$219)+(E229*$E$219)+(F229*$F$219)+(M229*$G$219)+(I229*$I$219)+(J229*$J$219)+(K229*$K$219))/$B$219</f>
        <v>17.602922849797643</v>
      </c>
      <c r="C229" s="40">
        <v>4.3099999999999996</v>
      </c>
      <c r="D229" s="41">
        <v>8.0399999999999991</v>
      </c>
      <c r="E229" s="41">
        <v>12.56</v>
      </c>
      <c r="F229" s="41">
        <v>19.170000000000002</v>
      </c>
      <c r="G229" s="41">
        <v>21.36</v>
      </c>
      <c r="H229" s="41">
        <f>H230+H231+H232</f>
        <v>25.54</v>
      </c>
      <c r="I229" s="41">
        <v>31.45</v>
      </c>
      <c r="J229" s="42">
        <v>51.35</v>
      </c>
      <c r="K229" s="41">
        <v>82.13</v>
      </c>
      <c r="L229" s="41"/>
      <c r="M229" s="23">
        <f>(G229+H229)/2</f>
        <v>23.45</v>
      </c>
      <c r="N229" s="41"/>
      <c r="O229" s="41"/>
      <c r="P229" s="41"/>
      <c r="Q229" s="41"/>
      <c r="R229" s="41"/>
      <c r="S229" s="41"/>
      <c r="T229" s="41"/>
      <c r="U229" s="41"/>
      <c r="V229" s="41"/>
      <c r="W229" s="43"/>
      <c r="AB229" s="44"/>
      <c r="AX229" s="41"/>
      <c r="AY229" s="41"/>
      <c r="AZ229" s="41"/>
    </row>
    <row r="230" spans="1:52" x14ac:dyDescent="0.25">
      <c r="A230" s="45" t="s">
        <v>74</v>
      </c>
      <c r="B230" s="39">
        <f>((C230*$C$219)+(D230*$D$219)+(E230*$E$219)+(F230*$F$219)+(M230*$G$219)+(I230*$I$219)+(J230*$J$219)+(K230*$K$219))/$B$219</f>
        <v>12.151531804413674</v>
      </c>
      <c r="C230" s="40">
        <f>3.51+0.23</f>
        <v>3.7399999999999998</v>
      </c>
      <c r="D230" s="41">
        <f>6.08+0.37</f>
        <v>6.45</v>
      </c>
      <c r="E230" s="41">
        <f>9.72+0.53</f>
        <v>10.25</v>
      </c>
      <c r="F230" s="41">
        <f>12.37+1.48</f>
        <v>13.85</v>
      </c>
      <c r="G230" s="41">
        <f>14.35+1.73</f>
        <v>16.079999999999998</v>
      </c>
      <c r="H230" s="41">
        <f>16.06+1.63</f>
        <v>17.689999999999998</v>
      </c>
      <c r="I230" s="41">
        <f>18.4+2.06</f>
        <v>20.459999999999997</v>
      </c>
      <c r="J230" s="42">
        <f>22.18+1.69</f>
        <v>23.87</v>
      </c>
      <c r="K230" s="41">
        <f>26.31+3.22</f>
        <v>29.529999999999998</v>
      </c>
      <c r="L230" s="41"/>
      <c r="M230" s="23">
        <f>(G230+H230)/2</f>
        <v>16.884999999999998</v>
      </c>
    </row>
    <row r="231" spans="1:52" x14ac:dyDescent="0.25">
      <c r="A231" s="45" t="s">
        <v>75</v>
      </c>
      <c r="B231" s="39">
        <f>((C231*$C$219)+(D231*$D$219)+(E231*$E$219)+(F231*$F$219)+(M231*$G$219)+(I231*$I$219)+(J231*$J$219)+(K231*$K$219))/$B$219</f>
        <v>3.5855092015170413</v>
      </c>
      <c r="C231" s="40">
        <v>0.56999999999999995</v>
      </c>
      <c r="D231" s="41">
        <v>1.27</v>
      </c>
      <c r="E231" s="41">
        <v>1.83</v>
      </c>
      <c r="F231" s="41">
        <v>3.26</v>
      </c>
      <c r="G231" s="41">
        <v>3.9</v>
      </c>
      <c r="H231" s="41">
        <v>5.44</v>
      </c>
      <c r="I231" s="41">
        <v>7.17</v>
      </c>
      <c r="J231" s="42">
        <v>13.13</v>
      </c>
      <c r="K231" s="41">
        <v>33.44</v>
      </c>
      <c r="L231" s="41"/>
      <c r="M231" s="23">
        <f>(G231+H231)/2</f>
        <v>4.67</v>
      </c>
    </row>
    <row r="232" spans="1:52" ht="30" x14ac:dyDescent="0.25">
      <c r="A232" s="45" t="s">
        <v>76</v>
      </c>
      <c r="B232" s="39">
        <f>((C232*$C$219)+(D232*$D$219)+(E232*$E$219)+(F232*$F$219)+(M232*$G$219)+(I232*$I$219)+(J232*$J$219)+(K232*$K$219))/$B$219</f>
        <v>1.8584821951281596</v>
      </c>
      <c r="C232" s="40">
        <v>0</v>
      </c>
      <c r="D232" s="41">
        <f>0.28+0.04</f>
        <v>0.32</v>
      </c>
      <c r="E232" s="41">
        <f>0.35+0.13</f>
        <v>0.48</v>
      </c>
      <c r="F232" s="41">
        <f>1.83+0.23</f>
        <v>2.06</v>
      </c>
      <c r="G232" s="41">
        <f>0.78+0.53</f>
        <v>1.31</v>
      </c>
      <c r="H232" s="41">
        <f>2.01+0.4</f>
        <v>2.4099999999999997</v>
      </c>
      <c r="I232" s="41">
        <f>2.98+0.84</f>
        <v>3.82</v>
      </c>
      <c r="J232" s="42">
        <f>10.63+3.72</f>
        <v>14.350000000000001</v>
      </c>
      <c r="K232" s="41">
        <f>18.28+0.88</f>
        <v>19.16</v>
      </c>
      <c r="L232" s="41"/>
      <c r="M232" s="23">
        <f>(G232+H232)/2</f>
        <v>1.8599999999999999</v>
      </c>
    </row>
    <row r="234" spans="1:52" ht="42.75" x14ac:dyDescent="0.25">
      <c r="B234" s="12" t="s">
        <v>80</v>
      </c>
    </row>
    <row r="235" spans="1:52" ht="30" x14ac:dyDescent="0.25">
      <c r="A235" s="38" t="s">
        <v>78</v>
      </c>
      <c r="B235" s="49">
        <f>(B229/$B$229)*100</f>
        <v>100</v>
      </c>
    </row>
    <row r="236" spans="1:52" x14ac:dyDescent="0.25">
      <c r="A236" s="45" t="s">
        <v>74</v>
      </c>
      <c r="B236" s="32">
        <f>(B230/$B$229)*100</f>
        <v>69.031330240439942</v>
      </c>
    </row>
    <row r="237" spans="1:52" x14ac:dyDescent="0.25">
      <c r="A237" s="45" t="s">
        <v>75</v>
      </c>
      <c r="B237" s="32">
        <f>(B231/$B$229)*100</f>
        <v>20.368828700276094</v>
      </c>
    </row>
    <row r="238" spans="1:52" ht="30" x14ac:dyDescent="0.25">
      <c r="A238" s="45" t="s">
        <v>76</v>
      </c>
      <c r="B238" s="32">
        <f>(B232/$B$229)*100</f>
        <v>10.557804581581314</v>
      </c>
    </row>
    <row r="240" spans="1:52" x14ac:dyDescent="0.25">
      <c r="A240" s="4">
        <v>1972</v>
      </c>
    </row>
    <row r="241" spans="1:52" x14ac:dyDescent="0.25">
      <c r="A241" s="26" t="s">
        <v>89</v>
      </c>
      <c r="B241" s="27"/>
      <c r="D241" s="24"/>
      <c r="E241" s="24"/>
      <c r="F241" s="24"/>
      <c r="G241" s="24"/>
      <c r="H241" s="24"/>
      <c r="I241" s="24"/>
      <c r="J241" s="28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AX241" s="11"/>
      <c r="AY241" s="11"/>
      <c r="AZ241" s="11"/>
    </row>
    <row r="242" spans="1:52" x14ac:dyDescent="0.25">
      <c r="A242" s="26" t="s">
        <v>88</v>
      </c>
      <c r="B242" s="27"/>
      <c r="D242" s="24"/>
      <c r="E242" s="24"/>
      <c r="F242" s="24"/>
      <c r="G242" s="24"/>
      <c r="H242" s="24"/>
      <c r="I242" s="24"/>
      <c r="J242" s="28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11"/>
      <c r="AX242" s="11"/>
      <c r="AY242" s="11"/>
      <c r="AZ242" s="11"/>
    </row>
    <row r="243" spans="1:52" x14ac:dyDescent="0.25">
      <c r="A243" s="26"/>
      <c r="B243" s="27"/>
      <c r="D243" s="24"/>
      <c r="E243" s="24"/>
      <c r="F243" s="24"/>
      <c r="G243" s="24"/>
      <c r="H243" s="24"/>
      <c r="I243" s="24"/>
      <c r="J243" s="28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11"/>
      <c r="AX243" s="11"/>
      <c r="AY243" s="11"/>
      <c r="AZ243" s="11"/>
    </row>
    <row r="244" spans="1:52" x14ac:dyDescent="0.25">
      <c r="A244" s="29" t="s">
        <v>145</v>
      </c>
      <c r="B244" s="27"/>
      <c r="D244" s="24"/>
      <c r="E244" s="24"/>
      <c r="F244" s="24"/>
      <c r="G244" s="24"/>
      <c r="H244" s="24"/>
      <c r="I244" s="24"/>
      <c r="J244" s="28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11"/>
      <c r="AX244" s="11"/>
      <c r="AY244" s="11"/>
      <c r="AZ244" s="11"/>
    </row>
    <row r="245" spans="1:52" x14ac:dyDescent="0.25">
      <c r="A245" s="30" t="s">
        <v>146</v>
      </c>
      <c r="B245" s="27"/>
      <c r="D245" s="24"/>
      <c r="E245" s="24"/>
      <c r="F245" s="24"/>
      <c r="G245" s="24"/>
      <c r="H245" s="24"/>
      <c r="I245" s="24"/>
      <c r="J245" s="28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11"/>
      <c r="AX245" s="11"/>
      <c r="AY245" s="11"/>
      <c r="AZ245" s="11"/>
    </row>
    <row r="246" spans="1:52" x14ac:dyDescent="0.25">
      <c r="A246" s="26"/>
      <c r="B246" s="27"/>
      <c r="D246" s="24"/>
      <c r="E246" s="24"/>
      <c r="F246" s="24"/>
      <c r="G246" s="24"/>
      <c r="H246" s="24"/>
      <c r="I246" s="24"/>
      <c r="J246" s="28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11"/>
      <c r="AX246" s="11"/>
      <c r="AY246" s="11"/>
      <c r="AZ246" s="11"/>
    </row>
    <row r="247" spans="1:52" x14ac:dyDescent="0.25">
      <c r="A247" s="26"/>
      <c r="B247" s="27"/>
      <c r="D247" s="24"/>
      <c r="E247" s="24"/>
      <c r="F247" s="24"/>
      <c r="G247" s="24"/>
      <c r="H247" s="24"/>
      <c r="I247" s="24"/>
      <c r="J247" s="28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11"/>
      <c r="AX247" s="11"/>
      <c r="AY247" s="11"/>
      <c r="AZ247" s="11"/>
    </row>
    <row r="248" spans="1:52" x14ac:dyDescent="0.25">
      <c r="A248" s="26"/>
      <c r="B248" s="27"/>
      <c r="D248" s="24"/>
      <c r="E248" s="24"/>
      <c r="F248" s="24"/>
      <c r="G248" s="24"/>
      <c r="H248" s="24"/>
      <c r="I248" s="24"/>
      <c r="J248" s="28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11"/>
      <c r="AX248" s="11"/>
      <c r="AY248" s="11"/>
      <c r="AZ248" s="11"/>
    </row>
    <row r="249" spans="1:52" x14ac:dyDescent="0.25">
      <c r="A249" s="26"/>
      <c r="B249" s="27"/>
      <c r="D249" s="24"/>
      <c r="E249" s="24"/>
      <c r="F249" s="24"/>
      <c r="G249" s="24"/>
      <c r="H249" s="24"/>
      <c r="I249" s="24"/>
      <c r="J249" s="28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11"/>
      <c r="AX249" s="11"/>
      <c r="AY249" s="11"/>
      <c r="AZ249" s="11"/>
    </row>
    <row r="250" spans="1:52" x14ac:dyDescent="0.25">
      <c r="A250" s="26"/>
      <c r="B250" s="27"/>
      <c r="D250" s="24"/>
      <c r="E250" s="24"/>
      <c r="F250" s="24"/>
      <c r="G250" s="24"/>
      <c r="H250" s="24"/>
      <c r="I250" s="24"/>
      <c r="J250" s="28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11"/>
      <c r="AX250" s="11"/>
      <c r="AY250" s="11"/>
      <c r="AZ250" s="11"/>
    </row>
    <row r="251" spans="1:52" x14ac:dyDescent="0.25">
      <c r="A251" s="26"/>
      <c r="B251" s="27"/>
      <c r="D251" s="24"/>
      <c r="E251" s="24"/>
      <c r="F251" s="24"/>
      <c r="G251" s="24"/>
      <c r="H251" s="24"/>
      <c r="I251" s="24"/>
      <c r="J251" s="28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11"/>
      <c r="AX251" s="11"/>
      <c r="AY251" s="11"/>
      <c r="AZ251" s="11"/>
    </row>
    <row r="252" spans="1:52" x14ac:dyDescent="0.25">
      <c r="A252" s="26"/>
      <c r="B252" s="27"/>
      <c r="D252" s="24"/>
      <c r="E252" s="24"/>
      <c r="F252" s="24"/>
      <c r="G252" s="24"/>
      <c r="H252" s="24"/>
      <c r="I252" s="24"/>
      <c r="J252" s="28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11"/>
      <c r="AX252" s="11"/>
      <c r="AY252" s="11"/>
      <c r="AZ252" s="11"/>
    </row>
    <row r="253" spans="1:52" x14ac:dyDescent="0.25">
      <c r="A253" s="26"/>
      <c r="B253" s="27"/>
      <c r="D253" s="24"/>
      <c r="E253" s="24"/>
      <c r="F253" s="24"/>
      <c r="G253" s="24"/>
      <c r="H253" s="24"/>
      <c r="I253" s="24"/>
      <c r="J253" s="28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11"/>
      <c r="AX253" s="11"/>
      <c r="AY253" s="11"/>
      <c r="AZ253" s="11"/>
    </row>
    <row r="254" spans="1:52" x14ac:dyDescent="0.25">
      <c r="A254" s="26"/>
      <c r="B254" s="27"/>
      <c r="D254" s="24"/>
      <c r="E254" s="24"/>
      <c r="F254" s="24"/>
      <c r="G254" s="24"/>
      <c r="H254" s="24"/>
      <c r="I254" s="24"/>
      <c r="J254" s="28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11"/>
      <c r="AX254" s="11"/>
      <c r="AY254" s="11"/>
      <c r="AZ254" s="11"/>
    </row>
    <row r="255" spans="1:52" x14ac:dyDescent="0.25">
      <c r="A255" s="26"/>
      <c r="B255" s="27"/>
      <c r="D255" s="24"/>
      <c r="E255" s="24"/>
      <c r="F255" s="24"/>
      <c r="G255" s="24"/>
      <c r="H255" s="24"/>
      <c r="I255" s="24"/>
      <c r="J255" s="28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11"/>
      <c r="AX255" s="11"/>
      <c r="AY255" s="11"/>
      <c r="AZ255" s="11"/>
    </row>
  </sheetData>
  <mergeCells count="12">
    <mergeCell ref="G219:H219"/>
    <mergeCell ref="D2:V2"/>
    <mergeCell ref="W2:AM2"/>
    <mergeCell ref="R136:T136"/>
    <mergeCell ref="AJ136:AL136"/>
    <mergeCell ref="R137:T137"/>
    <mergeCell ref="AJ137:AL137"/>
    <mergeCell ref="H47:I47"/>
    <mergeCell ref="Z47:AA47"/>
    <mergeCell ref="H49:I49"/>
    <mergeCell ref="Z49:AA49"/>
    <mergeCell ref="M200:M205"/>
  </mergeCells>
  <hyperlinks>
    <hyperlink ref="A156" r:id="rId1" xr:uid="{7F187B80-D7B5-49B5-B890-63ABC5AA60F9}"/>
    <hyperlink ref="A150" r:id="rId2" xr:uid="{E0451645-DD72-4526-82D1-79A41544D77D}"/>
    <hyperlink ref="A216" r:id="rId3" xr:uid="{10FC19AF-30B7-485E-9454-61D8F9601EED}"/>
    <hyperlink ref="A158" r:id="rId4" xr:uid="{88E45669-A8C0-4A3D-AE20-44F38276A3F7}"/>
    <hyperlink ref="A163" r:id="rId5" xr:uid="{E6C1872F-5958-4A2B-85D1-5E6A1E4C3DAF}"/>
    <hyperlink ref="A166" r:id="rId6" xr:uid="{4D44B24D-2671-4588-A6F5-7C7DD1153CD9}"/>
    <hyperlink ref="A180" r:id="rId7" xr:uid="{EF168910-5D2F-45FD-A6E2-954EDD4268F1}"/>
    <hyperlink ref="A184" r:id="rId8" xr:uid="{69953662-FA70-43E1-AE40-AF5CA536ECDA}"/>
    <hyperlink ref="A188" r:id="rId9" xr:uid="{653778F4-0369-4C65-8C29-7F88511DC658}"/>
    <hyperlink ref="A195" r:id="rId10" xr:uid="{7DE02772-C837-4C54-B16C-CC946B37DD30}"/>
    <hyperlink ref="A161" r:id="rId11" xr:uid="{EF79D44D-FCB4-4C63-B996-8D84AB14E7A5}"/>
    <hyperlink ref="A171" r:id="rId12" xr:uid="{0E7FA04B-9BD9-45AE-AC20-164AF918D1B4}"/>
    <hyperlink ref="A174" r:id="rId13" location="611473 " xr:uid="{F32EC32A-3189-4448-AA30-E330CDC17761}"/>
    <hyperlink ref="A245" r:id="rId14" location="611494 " xr:uid="{F0B9756A-F45E-4B1F-B24F-1FD55936AECA}"/>
    <hyperlink ref="A168" r:id="rId15" xr:uid="{ED390CB0-8918-48C3-9F3D-6FA29816A021}"/>
  </hyperlinks>
  <pageMargins left="0.7" right="0.7" top="0.75" bottom="0.75" header="0.3" footer="0.3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Gallo, Frank - ETA</dc:creator>
  <cp:lastModifiedBy>Gallo, Frank - ETA</cp:lastModifiedBy>
  <dcterms:created xsi:type="dcterms:W3CDTF">2024-05-31T17:50:37Z</dcterms:created>
  <dcterms:modified xsi:type="dcterms:W3CDTF">2024-09-25T16:51:58Z</dcterms:modified>
</cp:coreProperties>
</file>