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usdol-my.sharepoint.com/personal/gallo_frank_dol_gov/Documents/Frank's H Drive/My Documents/Frank Gallo/Older workers/"/>
    </mc:Choice>
  </mc:AlternateContent>
  <xr:revisionPtr revIDLastSave="1723" documentId="8_{F382A08C-6849-4DFD-9633-7D220F7BB926}" xr6:coauthVersionLast="47" xr6:coauthVersionMax="47" xr10:uidLastSave="{490993D5-A3AE-4BCC-A4E0-D64D1B9CAA52}"/>
  <bookViews>
    <workbookView xWindow="-120" yWindow="-120" windowWidth="29040" windowHeight="15720" activeTab="3" xr2:uid="{A3FA1CF2-8EA3-4A6E-8F8F-0131802451CB}"/>
  </bookViews>
  <sheets>
    <sheet name="Any retirement income" sheetId="1" r:id="rId1"/>
    <sheet name="Social program receipt" sheetId="2" r:id="rId2"/>
    <sheet name="Census-ACS" sheetId="3" r:id="rId3"/>
    <sheet name="CPS ASEC"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6" i="4" l="1"/>
  <c r="AB35" i="4"/>
  <c r="AB34" i="4"/>
  <c r="AB33" i="4"/>
  <c r="AB32" i="4"/>
  <c r="AB31" i="4"/>
  <c r="AB30" i="4"/>
  <c r="AB29" i="4"/>
  <c r="AB28" i="4"/>
  <c r="AB27" i="4"/>
  <c r="AB26" i="4"/>
  <c r="AB25" i="4"/>
  <c r="AB24" i="4"/>
  <c r="AB23" i="4"/>
  <c r="AB22" i="4"/>
  <c r="AB21" i="4"/>
  <c r="AB20" i="4"/>
  <c r="AB19" i="4"/>
  <c r="AB18" i="4"/>
  <c r="AB17" i="4"/>
  <c r="AB16" i="4"/>
  <c r="AB15" i="4"/>
  <c r="AB14" i="4"/>
  <c r="AB13" i="4"/>
  <c r="AB12" i="4"/>
  <c r="AB11" i="4"/>
  <c r="AB10" i="4"/>
  <c r="AB9" i="4"/>
  <c r="AB8" i="4"/>
  <c r="AB7" i="4"/>
  <c r="AB6" i="4"/>
  <c r="AB5" i="4"/>
  <c r="V36" i="4"/>
  <c r="V35" i="4"/>
  <c r="V34" i="4"/>
  <c r="V33" i="4"/>
  <c r="V32" i="4"/>
  <c r="V31" i="4"/>
  <c r="V30" i="4"/>
  <c r="V29" i="4"/>
  <c r="V28" i="4"/>
  <c r="V27" i="4"/>
  <c r="V26" i="4"/>
  <c r="V25" i="4"/>
  <c r="V24" i="4"/>
  <c r="V23" i="4"/>
  <c r="V22" i="4"/>
  <c r="V21" i="4"/>
  <c r="V20" i="4"/>
  <c r="V19" i="4"/>
  <c r="V18" i="4"/>
  <c r="V17" i="4"/>
  <c r="V16" i="4"/>
  <c r="V15" i="4"/>
  <c r="V14" i="4"/>
  <c r="V13" i="4"/>
  <c r="V12" i="4"/>
  <c r="V11" i="4"/>
  <c r="V10" i="4"/>
  <c r="V9" i="4"/>
  <c r="V8" i="4"/>
  <c r="V7" i="4"/>
  <c r="V6" i="4"/>
  <c r="V5" i="4"/>
  <c r="P36" i="4"/>
  <c r="P35" i="4"/>
  <c r="P34" i="4"/>
  <c r="P33" i="4"/>
  <c r="P32" i="4"/>
  <c r="P31" i="4"/>
  <c r="P30" i="4"/>
  <c r="P29" i="4"/>
  <c r="P28" i="4"/>
  <c r="P27" i="4"/>
  <c r="P26" i="4"/>
  <c r="P25" i="4"/>
  <c r="P24" i="4"/>
  <c r="P23" i="4"/>
  <c r="P22" i="4"/>
  <c r="P21" i="4"/>
  <c r="P20" i="4"/>
  <c r="P19" i="4"/>
  <c r="P18" i="4"/>
  <c r="P17" i="4"/>
  <c r="P16" i="4"/>
  <c r="P15" i="4"/>
  <c r="P14" i="4"/>
  <c r="P13" i="4"/>
  <c r="P12" i="4"/>
  <c r="P11" i="4"/>
  <c r="P10" i="4"/>
  <c r="P9" i="4"/>
  <c r="P8" i="4"/>
  <c r="P7" i="4"/>
  <c r="P6" i="4"/>
  <c r="P5"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5" i="4"/>
  <c r="AE6" i="4"/>
  <c r="AE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5" i="4"/>
  <c r="M6" i="4"/>
  <c r="S6" i="4"/>
  <c r="Y6" i="4"/>
  <c r="M7" i="4"/>
  <c r="S7" i="4"/>
  <c r="Y7" i="4"/>
  <c r="M8" i="4"/>
  <c r="S8" i="4"/>
  <c r="Y8" i="4"/>
  <c r="M9" i="4"/>
  <c r="S9" i="4"/>
  <c r="Y9" i="4"/>
  <c r="M10" i="4"/>
  <c r="S10" i="4"/>
  <c r="Y10" i="4"/>
  <c r="M11" i="4"/>
  <c r="S11" i="4"/>
  <c r="Y11" i="4"/>
  <c r="M12" i="4"/>
  <c r="S12" i="4"/>
  <c r="Y12" i="4"/>
  <c r="M13" i="4"/>
  <c r="S13" i="4"/>
  <c r="Y13" i="4"/>
  <c r="M14" i="4"/>
  <c r="S14" i="4"/>
  <c r="Y14" i="4"/>
  <c r="M15" i="4"/>
  <c r="S15" i="4"/>
  <c r="Y15" i="4"/>
  <c r="M16" i="4"/>
  <c r="S16" i="4"/>
  <c r="Y16" i="4"/>
  <c r="M17" i="4"/>
  <c r="S17" i="4"/>
  <c r="Y17" i="4"/>
  <c r="M18" i="4"/>
  <c r="S18" i="4"/>
  <c r="Y18" i="4"/>
  <c r="M19" i="4"/>
  <c r="S19" i="4"/>
  <c r="Y19" i="4"/>
  <c r="M20" i="4"/>
  <c r="S20" i="4"/>
  <c r="Y20" i="4"/>
  <c r="M21" i="4"/>
  <c r="S21" i="4"/>
  <c r="Y21" i="4"/>
  <c r="M22" i="4"/>
  <c r="S22" i="4"/>
  <c r="Y22" i="4"/>
  <c r="M23" i="4"/>
  <c r="S23" i="4"/>
  <c r="Y23" i="4"/>
  <c r="M24" i="4"/>
  <c r="S24" i="4"/>
  <c r="Y24" i="4"/>
  <c r="M25" i="4"/>
  <c r="S25" i="4"/>
  <c r="Y25" i="4"/>
  <c r="M26" i="4"/>
  <c r="S26" i="4"/>
  <c r="Y26" i="4"/>
  <c r="M27" i="4"/>
  <c r="S27" i="4"/>
  <c r="Y27" i="4"/>
  <c r="M28" i="4"/>
  <c r="S28" i="4"/>
  <c r="Y28" i="4"/>
  <c r="M29" i="4"/>
  <c r="S29" i="4"/>
  <c r="Y29" i="4"/>
  <c r="M30" i="4"/>
  <c r="S30" i="4"/>
  <c r="Y30" i="4"/>
  <c r="M31" i="4"/>
  <c r="S31" i="4"/>
  <c r="Y31" i="4"/>
  <c r="M32" i="4"/>
  <c r="S32" i="4"/>
  <c r="Y32" i="4"/>
  <c r="M33" i="4"/>
  <c r="S33" i="4"/>
  <c r="Y33" i="4"/>
  <c r="M34" i="4"/>
  <c r="S34" i="4"/>
  <c r="Y34" i="4"/>
  <c r="M35" i="4"/>
  <c r="S35" i="4"/>
  <c r="Y35" i="4"/>
  <c r="M36" i="4"/>
  <c r="S36" i="4"/>
  <c r="Y36" i="4"/>
  <c r="Y5" i="4"/>
  <c r="S5" i="4"/>
  <c r="M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5" i="4"/>
  <c r="M26" i="3" l="1"/>
  <c r="G26" i="3"/>
  <c r="D26" i="3"/>
  <c r="J26" i="3"/>
  <c r="I26" i="3"/>
  <c r="C26" i="3"/>
  <c r="F26" i="3"/>
  <c r="L26" i="3"/>
  <c r="K26" i="3"/>
  <c r="E26" i="3"/>
  <c r="H26" i="3"/>
  <c r="B26" i="3"/>
  <c r="J25" i="3"/>
  <c r="D25" i="3"/>
  <c r="M25" i="3"/>
  <c r="G25" i="3"/>
  <c r="I25" i="3"/>
  <c r="C25" i="3"/>
  <c r="F25" i="3"/>
  <c r="L25" i="3"/>
  <c r="K25" i="3"/>
  <c r="E25" i="3"/>
  <c r="H25" i="3"/>
  <c r="B25" i="3"/>
  <c r="M24" i="3"/>
  <c r="G24" i="3"/>
  <c r="D24" i="3"/>
  <c r="J24" i="3"/>
  <c r="I24" i="3"/>
  <c r="C24" i="3"/>
  <c r="F24" i="3"/>
  <c r="L24" i="3"/>
  <c r="K24" i="3"/>
  <c r="E24" i="3"/>
  <c r="H24" i="3"/>
  <c r="B24" i="3"/>
  <c r="M23" i="3"/>
  <c r="G23" i="3"/>
  <c r="D23" i="3"/>
  <c r="J23" i="3"/>
  <c r="I23" i="3"/>
  <c r="C23" i="3"/>
  <c r="F23" i="3"/>
  <c r="L23" i="3"/>
  <c r="K23" i="3"/>
  <c r="E23" i="3"/>
  <c r="H23" i="3"/>
  <c r="B23" i="3"/>
  <c r="M22" i="3"/>
  <c r="G22" i="3"/>
  <c r="J22" i="3"/>
  <c r="D22" i="3"/>
  <c r="C22" i="3"/>
  <c r="I22" i="3"/>
  <c r="F22" i="3"/>
  <c r="L22" i="3"/>
  <c r="K22" i="3"/>
  <c r="E22" i="3"/>
  <c r="H22" i="3"/>
  <c r="B22" i="3"/>
  <c r="M21" i="3"/>
  <c r="G21" i="3"/>
  <c r="D21" i="3"/>
  <c r="J21" i="3"/>
  <c r="I21" i="3"/>
  <c r="C21" i="3"/>
  <c r="F21" i="3"/>
  <c r="L21" i="3"/>
  <c r="K21" i="3"/>
  <c r="E21" i="3"/>
  <c r="H21" i="3"/>
  <c r="B21" i="3"/>
  <c r="M20" i="3"/>
  <c r="G20" i="3"/>
  <c r="D20" i="3"/>
  <c r="J20" i="3"/>
  <c r="I20" i="3"/>
  <c r="C20" i="3"/>
  <c r="F20" i="3"/>
  <c r="L20" i="3"/>
  <c r="K20" i="3"/>
  <c r="E20" i="3"/>
  <c r="H20" i="3"/>
  <c r="B20" i="3"/>
  <c r="M19" i="3"/>
  <c r="G19" i="3"/>
  <c r="D19" i="3"/>
  <c r="J19" i="3"/>
  <c r="I19" i="3"/>
  <c r="C19" i="3"/>
  <c r="F19" i="3"/>
  <c r="L19" i="3"/>
  <c r="K19" i="3"/>
  <c r="E19" i="3"/>
  <c r="H19" i="3"/>
  <c r="B19" i="3"/>
  <c r="M18" i="3"/>
  <c r="G18" i="3"/>
  <c r="D18" i="3"/>
  <c r="J18" i="3"/>
  <c r="I18" i="3"/>
  <c r="C18" i="3"/>
  <c r="F18" i="3"/>
  <c r="L18" i="3"/>
  <c r="K18" i="3"/>
  <c r="E18" i="3"/>
  <c r="H18" i="3"/>
  <c r="B18" i="3"/>
  <c r="M17" i="3"/>
  <c r="M16" i="3"/>
  <c r="G17" i="3"/>
  <c r="J17" i="3"/>
  <c r="D17" i="3"/>
  <c r="C17" i="3"/>
  <c r="I17" i="3"/>
  <c r="F17" i="3"/>
  <c r="L17" i="3"/>
  <c r="K17" i="3"/>
  <c r="E17" i="3"/>
  <c r="H17" i="3"/>
  <c r="B17" i="3"/>
  <c r="G16" i="3"/>
  <c r="D16" i="3"/>
  <c r="J16" i="3"/>
  <c r="I16" i="3"/>
  <c r="C16" i="3"/>
  <c r="F16" i="3"/>
  <c r="L16" i="3"/>
  <c r="K16" i="3"/>
  <c r="E16" i="3"/>
  <c r="H16" i="3"/>
  <c r="B16" i="3"/>
  <c r="M15" i="3"/>
  <c r="G15" i="3"/>
  <c r="D15" i="3"/>
  <c r="J15" i="3"/>
  <c r="I15" i="3"/>
  <c r="C15" i="3"/>
  <c r="C14" i="3"/>
  <c r="F15" i="3"/>
  <c r="L15" i="3"/>
  <c r="K15" i="3"/>
  <c r="E15" i="3"/>
  <c r="H15" i="3"/>
  <c r="B15" i="3"/>
  <c r="M14" i="3"/>
  <c r="G14" i="3"/>
  <c r="D14" i="3"/>
  <c r="J14" i="3"/>
  <c r="I14" i="3"/>
  <c r="F14" i="3"/>
  <c r="L14" i="3"/>
  <c r="K14" i="3"/>
  <c r="E14" i="3"/>
  <c r="H14" i="3"/>
  <c r="B14" i="3"/>
  <c r="M13" i="3"/>
  <c r="G13" i="3"/>
  <c r="D13" i="3"/>
  <c r="J13" i="3"/>
  <c r="I13" i="3"/>
  <c r="C13" i="3"/>
  <c r="F13" i="3"/>
  <c r="L13" i="3"/>
  <c r="K13" i="3"/>
  <c r="E13" i="3"/>
  <c r="H13" i="3"/>
  <c r="B13" i="3"/>
  <c r="M12" i="3"/>
  <c r="G12" i="3"/>
  <c r="J12" i="3"/>
  <c r="D12" i="3"/>
  <c r="C12" i="3"/>
  <c r="I12" i="3"/>
  <c r="F12" i="3"/>
  <c r="L12" i="3"/>
  <c r="K12" i="3"/>
  <c r="E12" i="3"/>
  <c r="H12" i="3"/>
  <c r="B12" i="3"/>
  <c r="M11" i="3"/>
  <c r="G11" i="3"/>
  <c r="D11" i="3"/>
  <c r="J11" i="3"/>
  <c r="I11" i="3"/>
  <c r="C11" i="3"/>
  <c r="F11" i="3"/>
  <c r="L11" i="3"/>
  <c r="K11" i="3"/>
  <c r="E11" i="3"/>
  <c r="H11" i="3"/>
  <c r="B11" i="3"/>
  <c r="M10" i="3"/>
  <c r="G10" i="3"/>
  <c r="D10" i="3"/>
  <c r="J10" i="3"/>
  <c r="I10" i="3"/>
  <c r="C10" i="3"/>
  <c r="F10" i="3"/>
  <c r="L10" i="3"/>
  <c r="K10" i="3"/>
  <c r="E10" i="3"/>
  <c r="H10" i="3"/>
  <c r="B10" i="3"/>
  <c r="M9" i="3"/>
  <c r="G9" i="3"/>
  <c r="D9" i="3"/>
  <c r="J9" i="3"/>
  <c r="I9" i="3"/>
  <c r="C9" i="3"/>
  <c r="F9" i="3"/>
  <c r="L9" i="3"/>
  <c r="K9" i="3"/>
  <c r="E9" i="3"/>
  <c r="H9" i="3"/>
  <c r="B9" i="3"/>
  <c r="M8" i="3"/>
  <c r="G8" i="3"/>
  <c r="D8" i="3"/>
  <c r="J8" i="3"/>
  <c r="I8" i="3"/>
  <c r="C8" i="3"/>
  <c r="F8" i="3"/>
  <c r="L8" i="3"/>
  <c r="K8" i="3"/>
  <c r="E8" i="3"/>
  <c r="H8" i="3"/>
  <c r="B8" i="3"/>
  <c r="M6" i="3"/>
  <c r="G6" i="3"/>
  <c r="J6" i="3"/>
  <c r="D6" i="3"/>
  <c r="M7" i="3"/>
  <c r="G7" i="3"/>
  <c r="D7" i="3"/>
  <c r="J7" i="3"/>
  <c r="I7" i="3"/>
  <c r="C7" i="3"/>
  <c r="F7" i="3"/>
  <c r="L7" i="3"/>
  <c r="K7" i="3"/>
  <c r="E7" i="3"/>
  <c r="H7" i="3"/>
  <c r="B7" i="3"/>
  <c r="I6" i="3"/>
  <c r="F6" i="3"/>
  <c r="C6" i="3"/>
  <c r="L6" i="3"/>
  <c r="K6" i="3"/>
  <c r="H6" i="3"/>
  <c r="E6" i="3"/>
  <c r="B6" i="3"/>
  <c r="P5" i="3"/>
  <c r="O5" i="3"/>
  <c r="N5" i="3"/>
  <c r="L5" i="3"/>
  <c r="K5" i="3"/>
  <c r="M5" i="3"/>
  <c r="J5" i="3"/>
  <c r="H5" i="3"/>
  <c r="I5" i="3"/>
  <c r="F5" i="3"/>
  <c r="E5" i="3"/>
  <c r="G5" i="3"/>
  <c r="D5" i="3"/>
  <c r="C5" i="3"/>
  <c r="B5" i="3"/>
</calcChain>
</file>

<file path=xl/sharedStrings.xml><?xml version="1.0" encoding="utf-8"?>
<sst xmlns="http://schemas.openxmlformats.org/spreadsheetml/2006/main" count="147" uniqueCount="45">
  <si>
    <t xml:space="preserve">Receipt of any time of retirement income by age, SIPP </t>
  </si>
  <si>
    <t>Ages 30 to 54</t>
  </si>
  <si>
    <t>Ages 55 to 59</t>
  </si>
  <si>
    <t>Ages 65 to 69</t>
  </si>
  <si>
    <t>Ages 70 to 74</t>
  </si>
  <si>
    <t>75 and older</t>
  </si>
  <si>
    <t>% of age group receiving retirement income</t>
  </si>
  <si>
    <t xml:space="preserve">Sources </t>
  </si>
  <si>
    <t xml:space="preserve">www.census.gov/topics/income-poverty/public-assistance/data/tables.2021.List_1912660285.html#list-tab-List_1912660285 </t>
  </si>
  <si>
    <t>Notes</t>
  </si>
  <si>
    <t xml:space="preserve">The detailed SIPP tables series began with 2013. </t>
  </si>
  <si>
    <t xml:space="preserve">The 2021 table lists many more sources of retirement income, which may explain the increases in receipt for the younger age groups. </t>
  </si>
  <si>
    <t>Ages 60 to 64</t>
  </si>
  <si>
    <t xml:space="preserve">U.S. Census Bureau, Survey of Income and Program Participation, SIPP Detailed Program Receipt Tables, Table 7, Persons 30 and older receiving retirement income </t>
  </si>
  <si>
    <t>50 to 64</t>
  </si>
  <si>
    <t xml:space="preserve">Social Security </t>
  </si>
  <si>
    <t xml:space="preserve">SSI </t>
  </si>
  <si>
    <t xml:space="preserve">Medicare </t>
  </si>
  <si>
    <t>Medicaid</t>
  </si>
  <si>
    <t>65 and older</t>
  </si>
  <si>
    <t>65 to 74</t>
  </si>
  <si>
    <t xml:space="preserve">U.S. Census Bureau, Survey of Income and Program Participation (SIPP) customized data tool, "Who Is Receiving Social Safety Net Benefits?" at </t>
  </si>
  <si>
    <t xml:space="preserve">www.census.gov/library/visualizations/interactive/social-safety-net-benefits.html </t>
  </si>
  <si>
    <t>Receipt of social programs (% receiving)</t>
  </si>
  <si>
    <t xml:space="preserve">% receiving </t>
  </si>
  <si>
    <t>Social Security</t>
  </si>
  <si>
    <t>55 to 59</t>
  </si>
  <si>
    <t>Retirement income (including pensions and  Disability Insurance)</t>
  </si>
  <si>
    <t>Income Type (% receiving)</t>
  </si>
  <si>
    <t>60 to 64</t>
  </si>
  <si>
    <t>65 to 69</t>
  </si>
  <si>
    <t>70 to 74</t>
  </si>
  <si>
    <t xml:space="preserve">Any type of disability benefit </t>
  </si>
  <si>
    <t>000s</t>
  </si>
  <si>
    <t xml:space="preserve">% receiving benefit </t>
  </si>
  <si>
    <t>Receiving Social Security</t>
  </si>
  <si>
    <t xml:space="preserve">Total persons </t>
  </si>
  <si>
    <t>Persons receiving Social Security or disability benefits</t>
  </si>
  <si>
    <t xml:space="preserve">% of total persons </t>
  </si>
  <si>
    <t>Source</t>
  </si>
  <si>
    <t>U.S. Census Bureau, Current Population Survey (CPS), Annual Social and Economic Supplement (ASEC)</t>
  </si>
  <si>
    <t xml:space="preserve">Data are from the Census Bureau's MDAT microdata tool </t>
  </si>
  <si>
    <t xml:space="preserve">https://data.census.gov/mdat/# </t>
  </si>
  <si>
    <t>SNAP</t>
  </si>
  <si>
    <t xml:space="preserve">"SNAP" is Supplemental Nutrition Assistance Program, formerly called Food Stamps.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</si>
</sst>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color theme="1"/>
      <name val="Calibri"/>
      <family val="2"/>
      <scheme val="minor"/>
    </font>
    <font>
      <b/>
      <sz val="11"/>
      <color theme="1"/>
      <name val="Calibri"/>
      <family val="2"/>
      <scheme val="minor"/>
    </font>
    <font>
      <u/>
      <sz val="11"/>
      <color theme="10"/>
      <name val="Calibri"/>
      <family val="2"/>
      <scheme val="minor"/>
    </font>
    <font>
      <b/>
      <sz val="11"/>
      <color rgb="FF7030A0"/>
      <name val="Calibri"/>
      <family val="2"/>
      <scheme val="minor"/>
    </font>
    <font>
      <sz val="11"/>
      <color rgb="FF7030A0"/>
      <name val="Calibri"/>
      <family val="2"/>
      <scheme val="minor"/>
    </font>
    <font>
      <b/>
      <sz val="10"/>
      <color theme="1"/>
      <name val="Calibri"/>
      <family val="2"/>
      <scheme val="minor"/>
    </font>
    <font>
      <b/>
      <sz val="11"/>
      <color rgb="FFFF0000"/>
      <name val="Calibri"/>
      <family val="2"/>
      <scheme val="minor"/>
    </font>
    <font>
      <b/>
      <sz val="10.5"/>
      <color theme="1"/>
      <name val="Calibri"/>
      <family val="2"/>
      <scheme val="minor"/>
    </font>
    <font>
      <b/>
      <sz val="10"/>
      <color rgb="FF7030A0"/>
      <name val="Calibri"/>
      <family val="2"/>
      <scheme val="minor"/>
    </font>
  </fonts>
  <fills count="10">
    <fill>
      <patternFill patternType="none"/>
    </fill>
    <fill>
      <patternFill patternType="gray125"/>
    </fill>
    <fill>
      <patternFill patternType="solid">
        <fgColor rgb="FFCCFFCC"/>
        <bgColor indexed="64"/>
      </patternFill>
    </fill>
    <fill>
      <patternFill patternType="solid">
        <fgColor rgb="FF66FFFF"/>
        <bgColor indexed="64"/>
      </patternFill>
    </fill>
    <fill>
      <patternFill patternType="solid">
        <fgColor rgb="FFFFCCFF"/>
        <bgColor indexed="64"/>
      </patternFill>
    </fill>
    <fill>
      <patternFill patternType="solid">
        <fgColor rgb="FFFFFFCC"/>
        <bgColor indexed="64"/>
      </patternFill>
    </fill>
    <fill>
      <patternFill patternType="solid">
        <fgColor rgb="FFCCECFF"/>
        <bgColor indexed="64"/>
      </patternFill>
    </fill>
    <fill>
      <patternFill patternType="solid">
        <fgColor rgb="FFCCFFFF"/>
        <bgColor indexed="64"/>
      </patternFill>
    </fill>
    <fill>
      <patternFill patternType="solid">
        <fgColor rgb="FFFFCC99"/>
        <bgColor indexed="64"/>
      </patternFill>
    </fill>
    <fill>
      <patternFill patternType="solid">
        <fgColor rgb="FF99FF3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6">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1" fillId="0" borderId="0" xfId="0" applyFont="1" applyAlignment="1">
      <alignment horizontal="left" vertical="center" wrapText="1"/>
    </xf>
    <xf numFmtId="0" fontId="0" fillId="0" borderId="0" xfId="0" applyAlignment="1">
      <alignment horizontal="left" vertical="center"/>
    </xf>
    <xf numFmtId="164" fontId="1" fillId="0" borderId="0" xfId="0" applyNumberFormat="1" applyFont="1" applyAlignment="1">
      <alignment horizontal="center" vertical="center"/>
    </xf>
    <xf numFmtId="164" fontId="0" fillId="0" borderId="0" xfId="0" applyNumberFormat="1" applyAlignment="1">
      <alignment vertical="center"/>
    </xf>
    <xf numFmtId="164" fontId="1" fillId="0" borderId="0" xfId="0" applyNumberFormat="1" applyFont="1" applyAlignment="1">
      <alignment horizontal="center" vertical="center" wrapText="1"/>
    </xf>
    <xf numFmtId="0" fontId="1" fillId="0" borderId="0" xfId="0" applyFont="1" applyAlignment="1">
      <alignment horizontal="left" vertical="center"/>
    </xf>
    <xf numFmtId="0" fontId="2" fillId="0" borderId="0" xfId="1" applyAlignment="1">
      <alignment horizontal="left" vertical="center"/>
    </xf>
    <xf numFmtId="164" fontId="0" fillId="0" borderId="0" xfId="0" applyNumberFormat="1" applyAlignment="1">
      <alignment horizontal="left" vertical="center"/>
    </xf>
    <xf numFmtId="164" fontId="3" fillId="0" borderId="0" xfId="0" applyNumberFormat="1" applyFont="1" applyAlignment="1">
      <alignment horizontal="left" vertical="center"/>
    </xf>
    <xf numFmtId="164" fontId="1" fillId="0" borderId="0" xfId="0" applyNumberFormat="1"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vertical="center" wrapText="1"/>
    </xf>
    <xf numFmtId="164" fontId="7" fillId="0" borderId="0" xfId="0" applyNumberFormat="1" applyFont="1" applyAlignment="1">
      <alignment horizontal="center" vertical="center" wrapText="1"/>
    </xf>
    <xf numFmtId="0" fontId="7" fillId="0" borderId="0" xfId="0" applyFont="1" applyAlignment="1">
      <alignment horizontal="center" vertical="center" wrapText="1"/>
    </xf>
    <xf numFmtId="164" fontId="5" fillId="0" borderId="0" xfId="0" applyNumberFormat="1" applyFont="1" applyAlignment="1">
      <alignment horizontal="center" vertical="center" wrapText="1"/>
    </xf>
    <xf numFmtId="0" fontId="8" fillId="0" borderId="0" xfId="0" applyFont="1" applyAlignment="1">
      <alignment horizontal="left" vertical="center" wrapText="1"/>
    </xf>
    <xf numFmtId="3" fontId="1" fillId="0" borderId="0" xfId="0" applyNumberFormat="1" applyFont="1" applyAlignment="1">
      <alignment horizontal="center" vertical="center" wrapText="1"/>
    </xf>
    <xf numFmtId="3" fontId="0" fillId="0" borderId="0" xfId="0" applyNumberFormat="1" applyAlignment="1">
      <alignment vertical="center"/>
    </xf>
    <xf numFmtId="164" fontId="1" fillId="0" borderId="0" xfId="0" applyNumberFormat="1"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164" fontId="7" fillId="2" borderId="0" xfId="0" applyNumberFormat="1" applyFont="1" applyFill="1" applyAlignment="1">
      <alignment horizontal="center" vertical="center" wrapText="1"/>
    </xf>
    <xf numFmtId="0" fontId="0" fillId="2" borderId="0" xfId="0" applyFill="1" applyAlignment="1">
      <alignment horizontal="center" vertical="center" wrapText="1"/>
    </xf>
    <xf numFmtId="164" fontId="7" fillId="3" borderId="0" xfId="0" applyNumberFormat="1" applyFont="1" applyFill="1" applyAlignment="1">
      <alignment horizontal="center" vertical="center" wrapText="1"/>
    </xf>
    <xf numFmtId="0" fontId="0" fillId="3" borderId="0" xfId="0" applyFill="1" applyAlignment="1">
      <alignment horizontal="center" vertical="center" wrapText="1"/>
    </xf>
    <xf numFmtId="164" fontId="7" fillId="4" borderId="0" xfId="0" applyNumberFormat="1" applyFont="1" applyFill="1" applyAlignment="1">
      <alignment horizontal="center" vertical="center" wrapText="1"/>
    </xf>
    <xf numFmtId="0" fontId="0" fillId="4" borderId="0" xfId="0" applyFill="1" applyAlignment="1">
      <alignment horizontal="center" vertical="center" wrapText="1"/>
    </xf>
    <xf numFmtId="164" fontId="7" fillId="5" borderId="0" xfId="0" applyNumberFormat="1" applyFont="1" applyFill="1" applyAlignment="1">
      <alignment horizontal="center" vertical="center" wrapText="1"/>
    </xf>
    <xf numFmtId="0" fontId="0" fillId="5" borderId="0" xfId="0" applyFill="1" applyAlignment="1">
      <alignment horizontal="center" vertical="center" wrapText="1"/>
    </xf>
    <xf numFmtId="164" fontId="7" fillId="6" borderId="0" xfId="0" applyNumberFormat="1" applyFont="1" applyFill="1" applyAlignment="1">
      <alignment horizontal="center" vertical="center" wrapText="1"/>
    </xf>
    <xf numFmtId="0" fontId="0" fillId="6" borderId="0" xfId="0" applyFill="1" applyAlignment="1">
      <alignment horizontal="center" vertical="center" wrapText="1"/>
    </xf>
    <xf numFmtId="3" fontId="1" fillId="9" borderId="0" xfId="0" applyNumberFormat="1" applyFont="1" applyFill="1" applyAlignment="1">
      <alignment horizontal="center" vertical="center"/>
    </xf>
    <xf numFmtId="0" fontId="1" fillId="9" borderId="0" xfId="0" applyFont="1" applyFill="1" applyAlignment="1">
      <alignment horizontal="center" vertical="center"/>
    </xf>
    <xf numFmtId="0" fontId="8" fillId="0" borderId="0" xfId="0" applyFont="1" applyAlignment="1">
      <alignment horizontal="left" vertical="center" wrapText="1"/>
    </xf>
    <xf numFmtId="3" fontId="1" fillId="2" borderId="0" xfId="0" applyNumberFormat="1" applyFont="1" applyFill="1" applyAlignment="1">
      <alignment horizontal="center" vertical="center"/>
    </xf>
    <xf numFmtId="0" fontId="1" fillId="2" borderId="0" xfId="0" applyFont="1" applyFill="1" applyAlignment="1">
      <alignment horizontal="center" vertical="center"/>
    </xf>
    <xf numFmtId="3" fontId="1" fillId="7" borderId="0" xfId="0" applyNumberFormat="1" applyFont="1" applyFill="1" applyAlignment="1">
      <alignment horizontal="center" vertical="center"/>
    </xf>
    <xf numFmtId="0" fontId="1" fillId="7" borderId="0" xfId="0" applyFont="1" applyFill="1" applyAlignment="1">
      <alignment horizontal="center" vertical="center"/>
    </xf>
    <xf numFmtId="3" fontId="1" fillId="4" borderId="0" xfId="0" applyNumberFormat="1" applyFont="1" applyFill="1" applyAlignment="1">
      <alignment horizontal="center" vertical="center"/>
    </xf>
    <xf numFmtId="3" fontId="1" fillId="8" borderId="0" xfId="0" applyNumberFormat="1" applyFont="1" applyFill="1" applyAlignment="1">
      <alignment horizontal="center" vertical="center"/>
    </xf>
    <xf numFmtId="0" fontId="1" fillId="8"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00FF"/>
      <color rgb="FF004D86"/>
      <color rgb="FF99FF33"/>
      <color rgb="FFFFCC99"/>
      <color rgb="FFFFCCFF"/>
      <color rgb="FFCCFFFF"/>
      <color rgb="FFCCFFCC"/>
      <color rgb="FFEAD5FF"/>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70 to 74</c:v>
          </c:tx>
          <c:spPr>
            <a:ln w="28575" cap="rnd">
              <a:solidFill>
                <a:schemeClr val="tx1">
                  <a:lumMod val="50000"/>
                  <a:lumOff val="50000"/>
                </a:schemeClr>
              </a:solidFill>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'Census-ACS'!$K$5:$K$28</c:f>
              <c:numCache>
                <c:formatCode>.0</c:formatCode>
                <c:ptCount val="24"/>
                <c:pt idx="0">
                  <c:v>90.2</c:v>
                </c:pt>
                <c:pt idx="1">
                  <c:v>90.4</c:v>
                </c:pt>
                <c:pt idx="2">
                  <c:v>91.1</c:v>
                </c:pt>
                <c:pt idx="3">
                  <c:v>91.3</c:v>
                </c:pt>
                <c:pt idx="4">
                  <c:v>90.6</c:v>
                </c:pt>
                <c:pt idx="5">
                  <c:v>90.2</c:v>
                </c:pt>
                <c:pt idx="6">
                  <c:v>90.1</c:v>
                </c:pt>
                <c:pt idx="7">
                  <c:v>89.5</c:v>
                </c:pt>
                <c:pt idx="8">
                  <c:v>90.2</c:v>
                </c:pt>
                <c:pt idx="9">
                  <c:v>89.7</c:v>
                </c:pt>
                <c:pt idx="10">
                  <c:v>89.9</c:v>
                </c:pt>
                <c:pt idx="11">
                  <c:v>89.5</c:v>
                </c:pt>
                <c:pt idx="12">
                  <c:v>89</c:v>
                </c:pt>
                <c:pt idx="13">
                  <c:v>89</c:v>
                </c:pt>
                <c:pt idx="14">
                  <c:v>89.5</c:v>
                </c:pt>
                <c:pt idx="15">
                  <c:v>89.5</c:v>
                </c:pt>
                <c:pt idx="16">
                  <c:v>89.2</c:v>
                </c:pt>
                <c:pt idx="17">
                  <c:v>89.3</c:v>
                </c:pt>
                <c:pt idx="18">
                  <c:v>89.3</c:v>
                </c:pt>
                <c:pt idx="19">
                  <c:v>89.6</c:v>
                </c:pt>
                <c:pt idx="20">
                  <c:v>88.5</c:v>
                </c:pt>
                <c:pt idx="21">
                  <c:v>88.2</c:v>
                </c:pt>
              </c:numCache>
            </c:numRef>
          </c:val>
          <c:smooth val="0"/>
          <c:extLst>
            <c:ext xmlns:c16="http://schemas.microsoft.com/office/drawing/2014/chart" uri="{C3380CC4-5D6E-409C-BE32-E72D297353CC}">
              <c16:uniqueId val="{00000000-D918-4B58-A77D-97CBBE847BCD}"/>
            </c:ext>
          </c:extLst>
        </c:ser>
        <c:ser>
          <c:idx val="1"/>
          <c:order val="1"/>
          <c:tx>
            <c:v>55 to 59</c:v>
          </c:tx>
          <c:spPr>
            <a:ln w="28575" cap="rnd">
              <a:solidFill>
                <a:srgbClr val="00B050"/>
              </a:solidFill>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'Census-ACS'!$B$5:$B$28</c:f>
              <c:numCache>
                <c:formatCode>.0</c:formatCode>
                <c:ptCount val="24"/>
                <c:pt idx="0">
                  <c:v>6.4000000000000057</c:v>
                </c:pt>
                <c:pt idx="1">
                  <c:v>6.5</c:v>
                </c:pt>
                <c:pt idx="2">
                  <c:v>6.5</c:v>
                </c:pt>
                <c:pt idx="3">
                  <c:v>6.4000000000000057</c:v>
                </c:pt>
                <c:pt idx="4">
                  <c:v>6.5</c:v>
                </c:pt>
                <c:pt idx="5">
                  <c:v>7</c:v>
                </c:pt>
                <c:pt idx="6">
                  <c:v>7.0999999999999943</c:v>
                </c:pt>
                <c:pt idx="7">
                  <c:v>6.7999999999999972</c:v>
                </c:pt>
                <c:pt idx="8">
                  <c:v>7.2000000000000028</c:v>
                </c:pt>
                <c:pt idx="9">
                  <c:v>7.2999999999999972</c:v>
                </c:pt>
                <c:pt idx="10">
                  <c:v>7.2999999999999972</c:v>
                </c:pt>
                <c:pt idx="11">
                  <c:v>7.5999999999999943</c:v>
                </c:pt>
                <c:pt idx="12">
                  <c:v>7.5</c:v>
                </c:pt>
                <c:pt idx="13">
                  <c:v>7.5999999999999943</c:v>
                </c:pt>
                <c:pt idx="14">
                  <c:v>7.7000000000000028</c:v>
                </c:pt>
                <c:pt idx="15">
                  <c:v>7.5</c:v>
                </c:pt>
                <c:pt idx="16">
                  <c:v>7.2000000000000028</c:v>
                </c:pt>
                <c:pt idx="17">
                  <c:v>7.0999999999999943</c:v>
                </c:pt>
                <c:pt idx="18">
                  <c:v>6.5</c:v>
                </c:pt>
                <c:pt idx="19">
                  <c:v>6.2000000000000028</c:v>
                </c:pt>
                <c:pt idx="20">
                  <c:v>5.7999999999999972</c:v>
                </c:pt>
                <c:pt idx="21">
                  <c:v>5.5</c:v>
                </c:pt>
              </c:numCache>
            </c:numRef>
          </c:val>
          <c:smooth val="0"/>
          <c:extLst>
            <c:ext xmlns:c16="http://schemas.microsoft.com/office/drawing/2014/chart" uri="{C3380CC4-5D6E-409C-BE32-E72D297353CC}">
              <c16:uniqueId val="{00000002-D918-4B58-A77D-97CBBE847BCD}"/>
            </c:ext>
          </c:extLst>
        </c:ser>
        <c:ser>
          <c:idx val="2"/>
          <c:order val="2"/>
          <c:tx>
            <c:v>60 to 64</c:v>
          </c:tx>
          <c:spPr>
            <a:ln w="28575" cap="rnd">
              <a:solidFill>
                <a:srgbClr val="00B050"/>
              </a:solidFill>
              <a:prstDash val="sysDash"/>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'Census-ACS'!$E$5:$E$28</c:f>
              <c:numCache>
                <c:formatCode>.0</c:formatCode>
                <c:ptCount val="24"/>
                <c:pt idx="0">
                  <c:v>34.700000000000003</c:v>
                </c:pt>
                <c:pt idx="1">
                  <c:v>33.599999999999994</c:v>
                </c:pt>
                <c:pt idx="2">
                  <c:v>32.799999999999997</c:v>
                </c:pt>
                <c:pt idx="3">
                  <c:v>32.099999999999994</c:v>
                </c:pt>
                <c:pt idx="4">
                  <c:v>32.400000000000006</c:v>
                </c:pt>
                <c:pt idx="5">
                  <c:v>32.299999999999997</c:v>
                </c:pt>
                <c:pt idx="6">
                  <c:v>30.400000000000006</c:v>
                </c:pt>
                <c:pt idx="7">
                  <c:v>27.900000000000006</c:v>
                </c:pt>
                <c:pt idx="8">
                  <c:v>28.799999999999997</c:v>
                </c:pt>
                <c:pt idx="9">
                  <c:v>29.400000000000006</c:v>
                </c:pt>
                <c:pt idx="10">
                  <c:v>30</c:v>
                </c:pt>
                <c:pt idx="11">
                  <c:v>28.700000000000003</c:v>
                </c:pt>
                <c:pt idx="12">
                  <c:v>28.200000000000003</c:v>
                </c:pt>
                <c:pt idx="13">
                  <c:v>27.200000000000003</c:v>
                </c:pt>
                <c:pt idx="14">
                  <c:v>26.799999999999997</c:v>
                </c:pt>
                <c:pt idx="15">
                  <c:v>25.700000000000003</c:v>
                </c:pt>
                <c:pt idx="16">
                  <c:v>24.700000000000003</c:v>
                </c:pt>
                <c:pt idx="17">
                  <c:v>23.900000000000006</c:v>
                </c:pt>
                <c:pt idx="18">
                  <c:v>22.5</c:v>
                </c:pt>
                <c:pt idx="19">
                  <c:v>22</c:v>
                </c:pt>
                <c:pt idx="20">
                  <c:v>20.5</c:v>
                </c:pt>
                <c:pt idx="21">
                  <c:v>20</c:v>
                </c:pt>
              </c:numCache>
            </c:numRef>
          </c:val>
          <c:smooth val="0"/>
          <c:extLst>
            <c:ext xmlns:c16="http://schemas.microsoft.com/office/drawing/2014/chart" uri="{C3380CC4-5D6E-409C-BE32-E72D297353CC}">
              <c16:uniqueId val="{00000003-D918-4B58-A77D-97CBBE847BCD}"/>
            </c:ext>
          </c:extLst>
        </c:ser>
        <c:ser>
          <c:idx val="3"/>
          <c:order val="3"/>
          <c:tx>
            <c:v>65 to 69</c:v>
          </c:tx>
          <c:spPr>
            <a:ln w="28575" cap="rnd">
              <a:solidFill>
                <a:schemeClr val="tx1">
                  <a:lumMod val="50000"/>
                  <a:lumOff val="50000"/>
                </a:schemeClr>
              </a:solidFill>
              <a:prstDash val="sysDash"/>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'Census-ACS'!$H$5:$H$28</c:f>
              <c:numCache>
                <c:formatCode>.0</c:formatCode>
                <c:ptCount val="24"/>
                <c:pt idx="0">
                  <c:v>86.6</c:v>
                </c:pt>
                <c:pt idx="1">
                  <c:v>86.9</c:v>
                </c:pt>
                <c:pt idx="2">
                  <c:v>87.4</c:v>
                </c:pt>
                <c:pt idx="3">
                  <c:v>86.6</c:v>
                </c:pt>
                <c:pt idx="4">
                  <c:v>85.9</c:v>
                </c:pt>
                <c:pt idx="5">
                  <c:v>84.3</c:v>
                </c:pt>
                <c:pt idx="6">
                  <c:v>83.2</c:v>
                </c:pt>
                <c:pt idx="7">
                  <c:v>82</c:v>
                </c:pt>
                <c:pt idx="8">
                  <c:v>82.1</c:v>
                </c:pt>
                <c:pt idx="9">
                  <c:v>81.5</c:v>
                </c:pt>
                <c:pt idx="10">
                  <c:v>80.599999999999994</c:v>
                </c:pt>
                <c:pt idx="11">
                  <c:v>78.900000000000006</c:v>
                </c:pt>
                <c:pt idx="12">
                  <c:v>78</c:v>
                </c:pt>
                <c:pt idx="13">
                  <c:v>77.400000000000006</c:v>
                </c:pt>
                <c:pt idx="14">
                  <c:v>76.8</c:v>
                </c:pt>
                <c:pt idx="15">
                  <c:v>76</c:v>
                </c:pt>
                <c:pt idx="16">
                  <c:v>74.400000000000006</c:v>
                </c:pt>
                <c:pt idx="17">
                  <c:v>73.5</c:v>
                </c:pt>
                <c:pt idx="18">
                  <c:v>72.2</c:v>
                </c:pt>
                <c:pt idx="19">
                  <c:v>71.900000000000006</c:v>
                </c:pt>
                <c:pt idx="20">
                  <c:v>69.400000000000006</c:v>
                </c:pt>
                <c:pt idx="21">
                  <c:v>67.8</c:v>
                </c:pt>
              </c:numCache>
            </c:numRef>
          </c:val>
          <c:smooth val="0"/>
          <c:extLst>
            <c:ext xmlns:c16="http://schemas.microsoft.com/office/drawing/2014/chart" uri="{C3380CC4-5D6E-409C-BE32-E72D297353CC}">
              <c16:uniqueId val="{00000004-D918-4B58-A77D-97CBBE847BCD}"/>
            </c:ext>
          </c:extLst>
        </c:ser>
        <c:dLbls>
          <c:showLegendKey val="0"/>
          <c:showVal val="0"/>
          <c:showCatName val="0"/>
          <c:showSerName val="0"/>
          <c:showPercent val="0"/>
          <c:showBubbleSize val="0"/>
        </c:dLbls>
        <c:smooth val="0"/>
        <c:axId val="416638175"/>
        <c:axId val="639874719"/>
      </c:lineChart>
      <c:catAx>
        <c:axId val="416638175"/>
        <c:scaling>
          <c:orientation val="minMax"/>
        </c:scaling>
        <c:delete val="0"/>
        <c:axPos val="b"/>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639874719"/>
        <c:crosses val="autoZero"/>
        <c:auto val="1"/>
        <c:lblAlgn val="ctr"/>
        <c:lblOffset val="100"/>
        <c:noMultiLvlLbl val="0"/>
      </c:catAx>
      <c:valAx>
        <c:axId val="639874719"/>
        <c:scaling>
          <c:orientation val="minMax"/>
          <c:max val="92"/>
          <c:min val="0"/>
        </c:scaling>
        <c:delete val="0"/>
        <c:axPos val="l"/>
        <c:majorGridlines>
          <c:spPr>
            <a:ln w="9525" cap="flat" cmpd="sng" algn="ctr">
              <a:solidFill>
                <a:srgbClr val="0070C0">
                  <a:alpha val="65000"/>
                </a:srgbClr>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500" b="1">
                    <a:solidFill>
                      <a:srgbClr val="0070C0"/>
                    </a:solidFill>
                  </a:rPr>
                  <a:t>Receipt</a:t>
                </a:r>
                <a:r>
                  <a:rPr lang="en-US" sz="1500" b="1" baseline="0">
                    <a:solidFill>
                      <a:srgbClr val="0070C0"/>
                    </a:solidFill>
                  </a:rPr>
                  <a:t> of Social Security benefits by age (%)</a:t>
                </a:r>
                <a:endParaRPr lang="en-US" sz="1500" b="1">
                  <a:solidFill>
                    <a:srgbClr val="0070C0"/>
                  </a:solidFill>
                </a:endParaRPr>
              </a:p>
            </c:rich>
          </c:tx>
          <c:layout>
            <c:manualLayout>
              <c:xMode val="edge"/>
              <c:yMode val="edge"/>
              <c:x val="1.7148981779206859E-2"/>
              <c:y val="6.2396920384951871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416638175"/>
        <c:crossesAt val="1"/>
        <c:crossBetween val="midCat"/>
        <c:majorUnit val="5"/>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593936853865127"/>
          <c:y val="3.0456852791878174E-2"/>
          <c:w val="0.84768151076854559"/>
          <c:h val="0.85151125144889883"/>
        </c:manualLayout>
      </c:layout>
      <c:lineChart>
        <c:grouping val="standard"/>
        <c:varyColors val="0"/>
        <c:ser>
          <c:idx val="0"/>
          <c:order val="0"/>
          <c:spPr>
            <a:ln w="28575" cap="rnd">
              <a:solidFill>
                <a:schemeClr val="tx1">
                  <a:lumMod val="50000"/>
                  <a:lumOff val="50000"/>
                </a:schemeClr>
              </a:solidFill>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'Census-ACS'!$M$5:$M$28</c:f>
              <c:numCache>
                <c:formatCode>.0</c:formatCode>
                <c:ptCount val="24"/>
                <c:pt idx="0">
                  <c:v>39.5</c:v>
                </c:pt>
                <c:pt idx="1">
                  <c:v>39.799999999999997</c:v>
                </c:pt>
                <c:pt idx="2">
                  <c:v>40.200000000000003</c:v>
                </c:pt>
                <c:pt idx="3">
                  <c:v>40.200000000000003</c:v>
                </c:pt>
                <c:pt idx="4">
                  <c:v>39.799999999999997</c:v>
                </c:pt>
                <c:pt idx="5">
                  <c:v>38.799999999999997</c:v>
                </c:pt>
                <c:pt idx="6">
                  <c:v>39.5</c:v>
                </c:pt>
                <c:pt idx="7">
                  <c:v>38.5</c:v>
                </c:pt>
                <c:pt idx="8">
                  <c:v>38.299999999999997</c:v>
                </c:pt>
                <c:pt idx="9">
                  <c:v>37.799999999999997</c:v>
                </c:pt>
                <c:pt idx="10">
                  <c:v>37.6</c:v>
                </c:pt>
                <c:pt idx="11">
                  <c:v>38</c:v>
                </c:pt>
                <c:pt idx="12">
                  <c:v>37.200000000000003</c:v>
                </c:pt>
                <c:pt idx="13">
                  <c:v>37.6</c:v>
                </c:pt>
                <c:pt idx="14">
                  <c:v>38.700000000000003</c:v>
                </c:pt>
                <c:pt idx="15">
                  <c:v>38.5</c:v>
                </c:pt>
                <c:pt idx="16">
                  <c:v>38.799999999999997</c:v>
                </c:pt>
                <c:pt idx="17">
                  <c:v>38.9</c:v>
                </c:pt>
                <c:pt idx="18">
                  <c:v>51.1</c:v>
                </c:pt>
                <c:pt idx="19">
                  <c:v>50.9</c:v>
                </c:pt>
                <c:pt idx="20">
                  <c:v>48.8</c:v>
                </c:pt>
                <c:pt idx="21">
                  <c:v>48.7</c:v>
                </c:pt>
              </c:numCache>
            </c:numRef>
          </c:val>
          <c:smooth val="0"/>
          <c:extLst>
            <c:ext xmlns:c16="http://schemas.microsoft.com/office/drawing/2014/chart" uri="{C3380CC4-5D6E-409C-BE32-E72D297353CC}">
              <c16:uniqueId val="{00000000-0CA3-4C47-8123-72C2AFBAD8D6}"/>
            </c:ext>
          </c:extLst>
        </c:ser>
        <c:ser>
          <c:idx val="1"/>
          <c:order val="1"/>
          <c:tx>
            <c:v>55 to 59</c:v>
          </c:tx>
          <c:spPr>
            <a:ln w="28575" cap="rnd">
              <a:solidFill>
                <a:srgbClr val="00B050"/>
              </a:solidFill>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'Census-ACS'!$D$5:$D$28</c:f>
              <c:numCache>
                <c:formatCode>.0</c:formatCode>
                <c:ptCount val="24"/>
                <c:pt idx="0">
                  <c:v>14.099999999999994</c:v>
                </c:pt>
                <c:pt idx="1">
                  <c:v>13.900000000000006</c:v>
                </c:pt>
                <c:pt idx="2">
                  <c:v>14.099999999999994</c:v>
                </c:pt>
                <c:pt idx="3">
                  <c:v>14.099999999999994</c:v>
                </c:pt>
                <c:pt idx="4">
                  <c:v>14.200000000000003</c:v>
                </c:pt>
                <c:pt idx="5">
                  <c:v>13.700000000000003</c:v>
                </c:pt>
                <c:pt idx="6">
                  <c:v>13.200000000000003</c:v>
                </c:pt>
                <c:pt idx="7">
                  <c:v>12.200000000000003</c:v>
                </c:pt>
                <c:pt idx="8">
                  <c:v>11.700000000000003</c:v>
                </c:pt>
                <c:pt idx="9">
                  <c:v>11</c:v>
                </c:pt>
                <c:pt idx="10">
                  <c:v>10.5</c:v>
                </c:pt>
                <c:pt idx="11">
                  <c:v>10.200000000000003</c:v>
                </c:pt>
                <c:pt idx="12">
                  <c:v>9.7999999999999972</c:v>
                </c:pt>
                <c:pt idx="13">
                  <c:v>9.5</c:v>
                </c:pt>
                <c:pt idx="14">
                  <c:v>9.2000000000000028</c:v>
                </c:pt>
                <c:pt idx="15">
                  <c:v>8.9000000000000057</c:v>
                </c:pt>
                <c:pt idx="16">
                  <c:v>8.4000000000000057</c:v>
                </c:pt>
                <c:pt idx="17">
                  <c:v>8.2000000000000028</c:v>
                </c:pt>
                <c:pt idx="18">
                  <c:v>10.799999999999997</c:v>
                </c:pt>
                <c:pt idx="19">
                  <c:v>11</c:v>
                </c:pt>
                <c:pt idx="20">
                  <c:v>10.200000000000003</c:v>
                </c:pt>
                <c:pt idx="21">
                  <c:v>10.099999999999994</c:v>
                </c:pt>
              </c:numCache>
            </c:numRef>
          </c:val>
          <c:smooth val="0"/>
          <c:extLst>
            <c:ext xmlns:c16="http://schemas.microsoft.com/office/drawing/2014/chart" uri="{C3380CC4-5D6E-409C-BE32-E72D297353CC}">
              <c16:uniqueId val="{00000002-0CA3-4C47-8123-72C2AFBAD8D6}"/>
            </c:ext>
          </c:extLst>
        </c:ser>
        <c:ser>
          <c:idx val="2"/>
          <c:order val="2"/>
          <c:tx>
            <c:v>60 to 64</c:v>
          </c:tx>
          <c:spPr>
            <a:ln w="28575" cap="rnd">
              <a:solidFill>
                <a:srgbClr val="00B050"/>
              </a:solidFill>
              <a:prstDash val="sysDash"/>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'Census-ACS'!$G$5:$G$28</c:f>
              <c:numCache>
                <c:formatCode>.0</c:formatCode>
                <c:ptCount val="24"/>
                <c:pt idx="0">
                  <c:v>26.099999999999994</c:v>
                </c:pt>
                <c:pt idx="1">
                  <c:v>25.900000000000006</c:v>
                </c:pt>
                <c:pt idx="2">
                  <c:v>25.599999999999994</c:v>
                </c:pt>
                <c:pt idx="3">
                  <c:v>26.099999999999994</c:v>
                </c:pt>
                <c:pt idx="4">
                  <c:v>25.900000000000006</c:v>
                </c:pt>
                <c:pt idx="5">
                  <c:v>25.599999999999994</c:v>
                </c:pt>
                <c:pt idx="6">
                  <c:v>25</c:v>
                </c:pt>
                <c:pt idx="7">
                  <c:v>23.900000000000006</c:v>
                </c:pt>
                <c:pt idx="8">
                  <c:v>23.799999999999997</c:v>
                </c:pt>
                <c:pt idx="9">
                  <c:v>23.400000000000006</c:v>
                </c:pt>
                <c:pt idx="10">
                  <c:v>23.299999999999997</c:v>
                </c:pt>
                <c:pt idx="11">
                  <c:v>22.5</c:v>
                </c:pt>
                <c:pt idx="12">
                  <c:v>21.5</c:v>
                </c:pt>
                <c:pt idx="13">
                  <c:v>20.700000000000003</c:v>
                </c:pt>
                <c:pt idx="14">
                  <c:v>20.400000000000006</c:v>
                </c:pt>
                <c:pt idx="15">
                  <c:v>19.599999999999994</c:v>
                </c:pt>
                <c:pt idx="16">
                  <c:v>18.900000000000006</c:v>
                </c:pt>
                <c:pt idx="17">
                  <c:v>18.400000000000006</c:v>
                </c:pt>
                <c:pt idx="18">
                  <c:v>22.5</c:v>
                </c:pt>
                <c:pt idx="19">
                  <c:v>22.299999999999997</c:v>
                </c:pt>
                <c:pt idx="20">
                  <c:v>21</c:v>
                </c:pt>
                <c:pt idx="21">
                  <c:v>20.900000000000006</c:v>
                </c:pt>
              </c:numCache>
            </c:numRef>
          </c:val>
          <c:smooth val="0"/>
          <c:extLst>
            <c:ext xmlns:c16="http://schemas.microsoft.com/office/drawing/2014/chart" uri="{C3380CC4-5D6E-409C-BE32-E72D297353CC}">
              <c16:uniqueId val="{00000003-0CA3-4C47-8123-72C2AFBAD8D6}"/>
            </c:ext>
          </c:extLst>
        </c:ser>
        <c:ser>
          <c:idx val="3"/>
          <c:order val="3"/>
          <c:tx>
            <c:v>65 to 69</c:v>
          </c:tx>
          <c:spPr>
            <a:ln w="28575" cap="rnd">
              <a:solidFill>
                <a:schemeClr val="tx1">
                  <a:lumMod val="50000"/>
                  <a:lumOff val="50000"/>
                </a:schemeClr>
              </a:solidFill>
              <a:prstDash val="sysDash"/>
              <a:round/>
            </a:ln>
            <a:effectLst/>
          </c:spPr>
          <c:marker>
            <c:symbol val="none"/>
          </c:marker>
          <c:cat>
            <c:numRef>
              <c:f>'Census-ACS'!$A$5:$A$28</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'Census-ACS'!$J$5:$J$28</c:f>
              <c:numCache>
                <c:formatCode>.0</c:formatCode>
                <c:ptCount val="24"/>
                <c:pt idx="0">
                  <c:v>35.900000000000006</c:v>
                </c:pt>
                <c:pt idx="1">
                  <c:v>36.1</c:v>
                </c:pt>
                <c:pt idx="2">
                  <c:v>36.4</c:v>
                </c:pt>
                <c:pt idx="3">
                  <c:v>36.299999999999997</c:v>
                </c:pt>
                <c:pt idx="4">
                  <c:v>36.299999999999997</c:v>
                </c:pt>
                <c:pt idx="5">
                  <c:v>35.700000000000003</c:v>
                </c:pt>
                <c:pt idx="6">
                  <c:v>35.099999999999994</c:v>
                </c:pt>
                <c:pt idx="7">
                  <c:v>34.700000000000003</c:v>
                </c:pt>
                <c:pt idx="8">
                  <c:v>34.799999999999997</c:v>
                </c:pt>
                <c:pt idx="9">
                  <c:v>34.099999999999994</c:v>
                </c:pt>
                <c:pt idx="10">
                  <c:v>34</c:v>
                </c:pt>
                <c:pt idx="11">
                  <c:v>34.400000000000006</c:v>
                </c:pt>
                <c:pt idx="12">
                  <c:v>33.5</c:v>
                </c:pt>
                <c:pt idx="13">
                  <c:v>33.799999999999997</c:v>
                </c:pt>
                <c:pt idx="14">
                  <c:v>34.099999999999994</c:v>
                </c:pt>
                <c:pt idx="15">
                  <c:v>33.700000000000003</c:v>
                </c:pt>
                <c:pt idx="16">
                  <c:v>33.200000000000003</c:v>
                </c:pt>
                <c:pt idx="17">
                  <c:v>32.5</c:v>
                </c:pt>
                <c:pt idx="18">
                  <c:v>37.9</c:v>
                </c:pt>
                <c:pt idx="19">
                  <c:v>38.1</c:v>
                </c:pt>
                <c:pt idx="20">
                  <c:v>36.200000000000003</c:v>
                </c:pt>
                <c:pt idx="21">
                  <c:v>35.700000000000003</c:v>
                </c:pt>
              </c:numCache>
            </c:numRef>
          </c:val>
          <c:smooth val="0"/>
          <c:extLst>
            <c:ext xmlns:c16="http://schemas.microsoft.com/office/drawing/2014/chart" uri="{C3380CC4-5D6E-409C-BE32-E72D297353CC}">
              <c16:uniqueId val="{00000004-0CA3-4C47-8123-72C2AFBAD8D6}"/>
            </c:ext>
          </c:extLst>
        </c:ser>
        <c:dLbls>
          <c:showLegendKey val="0"/>
          <c:showVal val="0"/>
          <c:showCatName val="0"/>
          <c:showSerName val="0"/>
          <c:showPercent val="0"/>
          <c:showBubbleSize val="0"/>
        </c:dLbls>
        <c:smooth val="0"/>
        <c:axId val="273110031"/>
        <c:axId val="303636703"/>
      </c:lineChart>
      <c:catAx>
        <c:axId val="273110031"/>
        <c:scaling>
          <c:orientation val="minMax"/>
        </c:scaling>
        <c:delete val="0"/>
        <c:axPos val="b"/>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303636703"/>
        <c:crosses val="autoZero"/>
        <c:auto val="1"/>
        <c:lblAlgn val="ctr"/>
        <c:lblOffset val="100"/>
        <c:noMultiLvlLbl val="0"/>
      </c:catAx>
      <c:valAx>
        <c:axId val="303636703"/>
        <c:scaling>
          <c:orientation val="minMax"/>
          <c:max val="52"/>
          <c:min val="0"/>
        </c:scaling>
        <c:delete val="0"/>
        <c:axPos val="l"/>
        <c:majorGridlines>
          <c:spPr>
            <a:ln w="9525" cap="flat" cmpd="sng" algn="ctr">
              <a:solidFill>
                <a:srgbClr val="0070C0">
                  <a:alpha val="65000"/>
                </a:srgbClr>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b="1" i="0" u="none" strike="noStrike" kern="1200" baseline="0">
                    <a:solidFill>
                      <a:srgbClr val="0070C0"/>
                    </a:solidFill>
                  </a:rPr>
                  <a:t>Receipt of the retirement income, private sector pensions, and disability income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273110031"/>
        <c:crossesAt val="1"/>
        <c:crossBetween val="midCat"/>
        <c:majorUnit val="5"/>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87537473580872"/>
          <c:y val="3.9694168663699646E-2"/>
          <c:w val="0.83459163431464423"/>
          <c:h val="0.82625356613032064"/>
        </c:manualLayout>
      </c:layout>
      <c:lineChart>
        <c:grouping val="standard"/>
        <c:varyColors val="0"/>
        <c:ser>
          <c:idx val="0"/>
          <c:order val="0"/>
          <c:tx>
            <c:v>75 and older</c:v>
          </c:tx>
          <c:spPr>
            <a:ln w="28575" cap="rnd">
              <a:solidFill>
                <a:schemeClr val="tx1">
                  <a:lumMod val="50000"/>
                  <a:lumOff val="50000"/>
                </a:schemeClr>
              </a:solidFill>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ASEC'!$AE$5:$AE$38</c:f>
              <c:numCache>
                <c:formatCode>.0</c:formatCode>
                <c:ptCount val="34"/>
                <c:pt idx="0">
                  <c:v>93.777840523934358</c:v>
                </c:pt>
                <c:pt idx="1">
                  <c:v>94.549402101581322</c:v>
                </c:pt>
                <c:pt idx="2">
                  <c:v>94.163357953229294</c:v>
                </c:pt>
                <c:pt idx="3">
                  <c:v>94.098830087760859</c:v>
                </c:pt>
                <c:pt idx="4">
                  <c:v>93.756897798144792</c:v>
                </c:pt>
                <c:pt idx="5">
                  <c:v>93.204588357392538</c:v>
                </c:pt>
                <c:pt idx="6">
                  <c:v>92.972560090341233</c:v>
                </c:pt>
                <c:pt idx="7">
                  <c:v>92.772750027069819</c:v>
                </c:pt>
                <c:pt idx="8">
                  <c:v>92.85805308226098</c:v>
                </c:pt>
                <c:pt idx="9">
                  <c:v>92.120580003001805</c:v>
                </c:pt>
                <c:pt idx="10">
                  <c:v>92.537948886903493</c:v>
                </c:pt>
                <c:pt idx="11">
                  <c:v>91.37782143746972</c:v>
                </c:pt>
                <c:pt idx="12">
                  <c:v>91.603787602902159</c:v>
                </c:pt>
                <c:pt idx="13">
                  <c:v>90.716721719194183</c:v>
                </c:pt>
                <c:pt idx="14">
                  <c:v>91.068403984506602</c:v>
                </c:pt>
                <c:pt idx="15">
                  <c:v>90.019995683557198</c:v>
                </c:pt>
                <c:pt idx="16">
                  <c:v>89.838846854807528</c:v>
                </c:pt>
                <c:pt idx="17">
                  <c:v>89.982829397125968</c:v>
                </c:pt>
                <c:pt idx="18">
                  <c:v>90.154572510577381</c:v>
                </c:pt>
                <c:pt idx="19">
                  <c:v>90.160722713492348</c:v>
                </c:pt>
                <c:pt idx="20">
                  <c:v>89.847270733671891</c:v>
                </c:pt>
                <c:pt idx="21">
                  <c:v>89.688456880765827</c:v>
                </c:pt>
                <c:pt idx="22">
                  <c:v>89.800066145367467</c:v>
                </c:pt>
                <c:pt idx="23">
                  <c:v>88.150088153861148</c:v>
                </c:pt>
                <c:pt idx="24">
                  <c:v>88.858066211253444</c:v>
                </c:pt>
                <c:pt idx="25">
                  <c:v>88.08288830521586</c:v>
                </c:pt>
                <c:pt idx="26">
                  <c:v>87.683723190152108</c:v>
                </c:pt>
                <c:pt idx="27">
                  <c:v>88.027968333965234</c:v>
                </c:pt>
                <c:pt idx="28">
                  <c:v>88.343759311037118</c:v>
                </c:pt>
                <c:pt idx="29">
                  <c:v>88.472982857869795</c:v>
                </c:pt>
                <c:pt idx="30">
                  <c:v>88.673078517867665</c:v>
                </c:pt>
                <c:pt idx="31">
                  <c:v>88.317947404326517</c:v>
                </c:pt>
              </c:numCache>
            </c:numRef>
          </c:val>
          <c:smooth val="0"/>
          <c:extLst>
            <c:ext xmlns:c16="http://schemas.microsoft.com/office/drawing/2014/chart" uri="{C3380CC4-5D6E-409C-BE32-E72D297353CC}">
              <c16:uniqueId val="{00000000-81A1-4ADA-84D2-440C72878810}"/>
            </c:ext>
          </c:extLst>
        </c:ser>
        <c:ser>
          <c:idx val="1"/>
          <c:order val="1"/>
          <c:tx>
            <c:v>55 to 59</c:v>
          </c:tx>
          <c:spPr>
            <a:ln w="28575" cap="rnd">
              <a:solidFill>
                <a:srgbClr val="00B050"/>
              </a:solidFill>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ASEC'!$G$5:$G$38</c:f>
              <c:numCache>
                <c:formatCode>.0</c:formatCode>
                <c:ptCount val="34"/>
                <c:pt idx="0">
                  <c:v>6.996235900635611</c:v>
                </c:pt>
                <c:pt idx="1">
                  <c:v>7.3710477390734583</c:v>
                </c:pt>
                <c:pt idx="2">
                  <c:v>6.6862618212685225</c:v>
                </c:pt>
                <c:pt idx="3">
                  <c:v>6.868209645372124</c:v>
                </c:pt>
                <c:pt idx="4">
                  <c:v>8.076533474236065</c:v>
                </c:pt>
                <c:pt idx="5">
                  <c:v>7.4933103694089027</c:v>
                </c:pt>
                <c:pt idx="6">
                  <c:v>7.6806709908466715</c:v>
                </c:pt>
                <c:pt idx="7">
                  <c:v>7.4480939311927159</c:v>
                </c:pt>
                <c:pt idx="8">
                  <c:v>7.9911375027637028</c:v>
                </c:pt>
                <c:pt idx="9">
                  <c:v>7.4834016874485627</c:v>
                </c:pt>
                <c:pt idx="10">
                  <c:v>7.982077578598096</c:v>
                </c:pt>
                <c:pt idx="11">
                  <c:v>7.4211330441418362</c:v>
                </c:pt>
                <c:pt idx="12">
                  <c:v>7.5225364112084154</c:v>
                </c:pt>
                <c:pt idx="13">
                  <c:v>8.1319148235882235</c:v>
                </c:pt>
                <c:pt idx="14">
                  <c:v>7.5420286606512859</c:v>
                </c:pt>
                <c:pt idx="15">
                  <c:v>8.0034509224549524</c:v>
                </c:pt>
                <c:pt idx="16">
                  <c:v>8.3513619204016099</c:v>
                </c:pt>
                <c:pt idx="17">
                  <c:v>7.9918382424452341</c:v>
                </c:pt>
                <c:pt idx="18">
                  <c:v>7.7862899294963501</c:v>
                </c:pt>
                <c:pt idx="19">
                  <c:v>7.8053521400618022</c:v>
                </c:pt>
                <c:pt idx="20">
                  <c:v>8.8057574565752343</c:v>
                </c:pt>
                <c:pt idx="21">
                  <c:v>8.3353236882180397</c:v>
                </c:pt>
                <c:pt idx="22">
                  <c:v>9.2279742035861183</c:v>
                </c:pt>
                <c:pt idx="23">
                  <c:v>9.1220264058646841</c:v>
                </c:pt>
                <c:pt idx="24">
                  <c:v>8.567440469053599</c:v>
                </c:pt>
                <c:pt idx="25">
                  <c:v>9.3576637328525454</c:v>
                </c:pt>
                <c:pt idx="26">
                  <c:v>9.0727991030422448</c:v>
                </c:pt>
                <c:pt idx="27">
                  <c:v>8.9749405983003925</c:v>
                </c:pt>
                <c:pt idx="28">
                  <c:v>8.4867829027357953</c:v>
                </c:pt>
                <c:pt idx="29">
                  <c:v>8.1150223356757305</c:v>
                </c:pt>
                <c:pt idx="30">
                  <c:v>8.2607360288068694</c:v>
                </c:pt>
                <c:pt idx="31">
                  <c:v>7.4435107894917101</c:v>
                </c:pt>
              </c:numCache>
            </c:numRef>
          </c:val>
          <c:smooth val="0"/>
          <c:extLst>
            <c:ext xmlns:c16="http://schemas.microsoft.com/office/drawing/2014/chart" uri="{C3380CC4-5D6E-409C-BE32-E72D297353CC}">
              <c16:uniqueId val="{00000002-81A1-4ADA-84D2-440C72878810}"/>
            </c:ext>
          </c:extLst>
        </c:ser>
        <c:ser>
          <c:idx val="2"/>
          <c:order val="2"/>
          <c:tx>
            <c:v>60 to 64</c:v>
          </c:tx>
          <c:spPr>
            <a:ln w="28575" cap="rnd">
              <a:solidFill>
                <a:srgbClr val="00B050"/>
              </a:solidFill>
              <a:prstDash val="sysDash"/>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ASEC'!$M$5:$M$38</c:f>
              <c:numCache>
                <c:formatCode>.0</c:formatCode>
                <c:ptCount val="34"/>
                <c:pt idx="0">
                  <c:v>35.67201136085432</c:v>
                </c:pt>
                <c:pt idx="1">
                  <c:v>36.097025865364479</c:v>
                </c:pt>
                <c:pt idx="2">
                  <c:v>37.29500692438824</c:v>
                </c:pt>
                <c:pt idx="3">
                  <c:v>37.150509156544572</c:v>
                </c:pt>
                <c:pt idx="4">
                  <c:v>36.381638114137957</c:v>
                </c:pt>
                <c:pt idx="5">
                  <c:v>35.256185225627675</c:v>
                </c:pt>
                <c:pt idx="6">
                  <c:v>33.738066453490269</c:v>
                </c:pt>
                <c:pt idx="7">
                  <c:v>34.334319690227929</c:v>
                </c:pt>
                <c:pt idx="8">
                  <c:v>33.964301590132415</c:v>
                </c:pt>
                <c:pt idx="9">
                  <c:v>34.897671956973028</c:v>
                </c:pt>
                <c:pt idx="10">
                  <c:v>33.524432949536873</c:v>
                </c:pt>
                <c:pt idx="11">
                  <c:v>31.470346179876866</c:v>
                </c:pt>
                <c:pt idx="12">
                  <c:v>30.858385947725363</c:v>
                </c:pt>
                <c:pt idx="13">
                  <c:v>30.35196444396534</c:v>
                </c:pt>
                <c:pt idx="14">
                  <c:v>29.8622190885878</c:v>
                </c:pt>
                <c:pt idx="15">
                  <c:v>29.110025588877757</c:v>
                </c:pt>
                <c:pt idx="16">
                  <c:v>27.291873337535733</c:v>
                </c:pt>
                <c:pt idx="17">
                  <c:v>26.320591033064815</c:v>
                </c:pt>
                <c:pt idx="18">
                  <c:v>26.347657375687501</c:v>
                </c:pt>
                <c:pt idx="19">
                  <c:v>28.055134547282911</c:v>
                </c:pt>
                <c:pt idx="20">
                  <c:v>26.872630921471373</c:v>
                </c:pt>
                <c:pt idx="21">
                  <c:v>26.262042496428688</c:v>
                </c:pt>
                <c:pt idx="22">
                  <c:v>23.993654290152246</c:v>
                </c:pt>
                <c:pt idx="23">
                  <c:v>24.403515998756529</c:v>
                </c:pt>
                <c:pt idx="24">
                  <c:v>23.703974435909934</c:v>
                </c:pt>
                <c:pt idx="25">
                  <c:v>22.548077690322977</c:v>
                </c:pt>
                <c:pt idx="26">
                  <c:v>22.516685489993886</c:v>
                </c:pt>
                <c:pt idx="27">
                  <c:v>22.448638966234181</c:v>
                </c:pt>
                <c:pt idx="28">
                  <c:v>21.651061642857822</c:v>
                </c:pt>
                <c:pt idx="29">
                  <c:v>20.084072008464087</c:v>
                </c:pt>
                <c:pt idx="30">
                  <c:v>19.05497707511606</c:v>
                </c:pt>
                <c:pt idx="31">
                  <c:v>21.095131036721071</c:v>
                </c:pt>
              </c:numCache>
            </c:numRef>
          </c:val>
          <c:smooth val="0"/>
          <c:extLst>
            <c:ext xmlns:c16="http://schemas.microsoft.com/office/drawing/2014/chart" uri="{C3380CC4-5D6E-409C-BE32-E72D297353CC}">
              <c16:uniqueId val="{00000003-81A1-4ADA-84D2-440C72878810}"/>
            </c:ext>
          </c:extLst>
        </c:ser>
        <c:ser>
          <c:idx val="3"/>
          <c:order val="3"/>
          <c:tx>
            <c:v>65 to 69</c:v>
          </c:tx>
          <c:spPr>
            <a:ln w="28575" cap="rnd">
              <a:solidFill>
                <a:srgbClr val="FF00FF"/>
              </a:solidFill>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ASEC'!$S$5:$S$38</c:f>
              <c:numCache>
                <c:formatCode>.0</c:formatCode>
                <c:ptCount val="34"/>
                <c:pt idx="0">
                  <c:v>85.158448528275613</c:v>
                </c:pt>
                <c:pt idx="1">
                  <c:v>87.622156164817426</c:v>
                </c:pt>
                <c:pt idx="2">
                  <c:v>85.966222461188025</c:v>
                </c:pt>
                <c:pt idx="3">
                  <c:v>86.023889896200174</c:v>
                </c:pt>
                <c:pt idx="4">
                  <c:v>85.857912622559567</c:v>
                </c:pt>
                <c:pt idx="5">
                  <c:v>83.829871616829692</c:v>
                </c:pt>
                <c:pt idx="6">
                  <c:v>83.832260615907273</c:v>
                </c:pt>
                <c:pt idx="7">
                  <c:v>83.138209738604132</c:v>
                </c:pt>
                <c:pt idx="8">
                  <c:v>82.749173332261194</c:v>
                </c:pt>
                <c:pt idx="9">
                  <c:v>85.595721851715339</c:v>
                </c:pt>
                <c:pt idx="10">
                  <c:v>85.563446735461284</c:v>
                </c:pt>
                <c:pt idx="11">
                  <c:v>83.529013141876703</c:v>
                </c:pt>
                <c:pt idx="12">
                  <c:v>84.942739127441342</c:v>
                </c:pt>
                <c:pt idx="13">
                  <c:v>83.081505562804196</c:v>
                </c:pt>
                <c:pt idx="14">
                  <c:v>81.804823750727465</c:v>
                </c:pt>
                <c:pt idx="15">
                  <c:v>79.551328056758493</c:v>
                </c:pt>
                <c:pt idx="16">
                  <c:v>78.138540118920631</c:v>
                </c:pt>
                <c:pt idx="17">
                  <c:v>78.158048269294468</c:v>
                </c:pt>
                <c:pt idx="18">
                  <c:v>77.113464366289136</c:v>
                </c:pt>
                <c:pt idx="19">
                  <c:v>74.767228832753602</c:v>
                </c:pt>
                <c:pt idx="20">
                  <c:v>75.821208111253696</c:v>
                </c:pt>
                <c:pt idx="21">
                  <c:v>73.895026074476931</c:v>
                </c:pt>
                <c:pt idx="22">
                  <c:v>73.441130724357848</c:v>
                </c:pt>
                <c:pt idx="23">
                  <c:v>72.214196284221714</c:v>
                </c:pt>
                <c:pt idx="24">
                  <c:v>71.391475575308334</c:v>
                </c:pt>
                <c:pt idx="25">
                  <c:v>69.886952290833975</c:v>
                </c:pt>
                <c:pt idx="26">
                  <c:v>69.442454784612835</c:v>
                </c:pt>
                <c:pt idx="27">
                  <c:v>68.765903227252466</c:v>
                </c:pt>
                <c:pt idx="28">
                  <c:v>67.710409189863768</c:v>
                </c:pt>
                <c:pt idx="29">
                  <c:v>66.225484770948924</c:v>
                </c:pt>
                <c:pt idx="30">
                  <c:v>65.41135473231293</c:v>
                </c:pt>
                <c:pt idx="31">
                  <c:v>64.692436038111722</c:v>
                </c:pt>
              </c:numCache>
            </c:numRef>
          </c:val>
          <c:smooth val="0"/>
          <c:extLst>
            <c:ext xmlns:c16="http://schemas.microsoft.com/office/drawing/2014/chart" uri="{C3380CC4-5D6E-409C-BE32-E72D297353CC}">
              <c16:uniqueId val="{00000004-81A1-4ADA-84D2-440C72878810}"/>
            </c:ext>
          </c:extLst>
        </c:ser>
        <c:ser>
          <c:idx val="4"/>
          <c:order val="4"/>
          <c:tx>
            <c:v>70 to 74</c:v>
          </c:tx>
          <c:spPr>
            <a:ln w="28575" cap="rnd">
              <a:solidFill>
                <a:schemeClr val="tx1">
                  <a:lumMod val="50000"/>
                  <a:lumOff val="50000"/>
                </a:schemeClr>
              </a:solidFill>
              <a:prstDash val="sysDash"/>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ASEC'!$Y$5:$Y$38</c:f>
              <c:numCache>
                <c:formatCode>.0</c:formatCode>
                <c:ptCount val="34"/>
                <c:pt idx="0">
                  <c:v>91.610705386340584</c:v>
                </c:pt>
                <c:pt idx="1">
                  <c:v>92.608724450230454</c:v>
                </c:pt>
                <c:pt idx="2">
                  <c:v>91.867933004428508</c:v>
                </c:pt>
                <c:pt idx="3">
                  <c:v>92.46014628213311</c:v>
                </c:pt>
                <c:pt idx="4">
                  <c:v>92.461854192616045</c:v>
                </c:pt>
                <c:pt idx="5">
                  <c:v>92.027964816834711</c:v>
                </c:pt>
                <c:pt idx="6">
                  <c:v>91.613824755083641</c:v>
                </c:pt>
                <c:pt idx="7">
                  <c:v>91.115826177141912</c:v>
                </c:pt>
                <c:pt idx="8">
                  <c:v>91.277238571822579</c:v>
                </c:pt>
                <c:pt idx="9">
                  <c:v>90.334004106553849</c:v>
                </c:pt>
                <c:pt idx="10">
                  <c:v>90.762187463886264</c:v>
                </c:pt>
                <c:pt idx="11">
                  <c:v>89.654538244936532</c:v>
                </c:pt>
                <c:pt idx="12">
                  <c:v>89.073435231894166</c:v>
                </c:pt>
                <c:pt idx="13">
                  <c:v>89.085037562844349</c:v>
                </c:pt>
                <c:pt idx="14">
                  <c:v>88.594083411830297</c:v>
                </c:pt>
                <c:pt idx="15">
                  <c:v>87.603636788133898</c:v>
                </c:pt>
                <c:pt idx="16">
                  <c:v>87.58912166041614</c:v>
                </c:pt>
                <c:pt idx="17">
                  <c:v>87.6748340904023</c:v>
                </c:pt>
                <c:pt idx="18">
                  <c:v>87.987498931602033</c:v>
                </c:pt>
                <c:pt idx="19">
                  <c:v>87.192176461848092</c:v>
                </c:pt>
                <c:pt idx="20">
                  <c:v>87.640753884494956</c:v>
                </c:pt>
                <c:pt idx="21">
                  <c:v>87.853299301446114</c:v>
                </c:pt>
                <c:pt idx="22">
                  <c:v>86.739671732209459</c:v>
                </c:pt>
                <c:pt idx="23">
                  <c:v>85.64452117016377</c:v>
                </c:pt>
                <c:pt idx="24">
                  <c:v>85.950280773288043</c:v>
                </c:pt>
                <c:pt idx="25">
                  <c:v>86.436178706971091</c:v>
                </c:pt>
                <c:pt idx="26">
                  <c:v>85.671581930782892</c:v>
                </c:pt>
                <c:pt idx="27">
                  <c:v>84.800553948991833</c:v>
                </c:pt>
                <c:pt idx="28">
                  <c:v>85.649149371071346</c:v>
                </c:pt>
                <c:pt idx="29">
                  <c:v>86.096396142379888</c:v>
                </c:pt>
                <c:pt idx="30">
                  <c:v>85.374837951889859</c:v>
                </c:pt>
                <c:pt idx="31">
                  <c:v>84.826390184344206</c:v>
                </c:pt>
              </c:numCache>
            </c:numRef>
          </c:val>
          <c:smooth val="0"/>
          <c:extLst>
            <c:ext xmlns:c16="http://schemas.microsoft.com/office/drawing/2014/chart" uri="{C3380CC4-5D6E-409C-BE32-E72D297353CC}">
              <c16:uniqueId val="{00000005-81A1-4ADA-84D2-440C72878810}"/>
            </c:ext>
          </c:extLst>
        </c:ser>
        <c:dLbls>
          <c:showLegendKey val="0"/>
          <c:showVal val="0"/>
          <c:showCatName val="0"/>
          <c:showSerName val="0"/>
          <c:showPercent val="0"/>
          <c:showBubbleSize val="0"/>
        </c:dLbls>
        <c:smooth val="0"/>
        <c:axId val="207794207"/>
        <c:axId val="219637152"/>
      </c:lineChart>
      <c:catAx>
        <c:axId val="207794207"/>
        <c:scaling>
          <c:orientation val="minMax"/>
        </c:scaling>
        <c:delete val="0"/>
        <c:axPos val="b"/>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219637152"/>
        <c:crosses val="autoZero"/>
        <c:auto val="1"/>
        <c:lblAlgn val="ctr"/>
        <c:lblOffset val="100"/>
        <c:noMultiLvlLbl val="0"/>
      </c:catAx>
      <c:valAx>
        <c:axId val="219637152"/>
        <c:scaling>
          <c:orientation val="minMax"/>
          <c:max val="95"/>
          <c:min val="0"/>
        </c:scaling>
        <c:delete val="0"/>
        <c:axPos val="l"/>
        <c:majorGridlines>
          <c:spPr>
            <a:ln w="9525" cap="flat" cmpd="sng" algn="ctr">
              <a:solidFill>
                <a:srgbClr val="0070C0"/>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b="1">
                    <a:solidFill>
                      <a:srgbClr val="004D86"/>
                    </a:solidFill>
                  </a:rPr>
                  <a:t>% of individuals receiving Social Security</a:t>
                </a:r>
              </a:p>
            </c:rich>
          </c:tx>
          <c:layout>
            <c:manualLayout>
              <c:xMode val="edge"/>
              <c:yMode val="edge"/>
              <c:x val="7.0360598065083556E-3"/>
              <c:y val="7.723534558180225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207794207"/>
        <c:crossesAt val="1"/>
        <c:crossBetween val="midCat"/>
        <c:majorUnit val="5"/>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78727581772528"/>
          <c:y val="3.9694168663699646E-2"/>
          <c:w val="0.80367973323272757"/>
          <c:h val="0.82625356613032064"/>
        </c:manualLayout>
      </c:layout>
      <c:lineChart>
        <c:grouping val="standard"/>
        <c:varyColors val="0"/>
        <c:ser>
          <c:idx val="1"/>
          <c:order val="0"/>
          <c:tx>
            <c:v>55 to 59</c:v>
          </c:tx>
          <c:spPr>
            <a:ln w="28575" cap="rnd">
              <a:solidFill>
                <a:srgbClr val="00B050"/>
              </a:solidFill>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ASEC'!$D$5:$D$38</c:f>
              <c:numCache>
                <c:formatCode>.0</c:formatCode>
                <c:ptCount val="34"/>
                <c:pt idx="0">
                  <c:v>2.0057273672614224</c:v>
                </c:pt>
                <c:pt idx="1">
                  <c:v>2.0698192917607381</c:v>
                </c:pt>
                <c:pt idx="2">
                  <c:v>2.2930989741661691</c:v>
                </c:pt>
                <c:pt idx="3">
                  <c:v>2.2519442774786942</c:v>
                </c:pt>
                <c:pt idx="4">
                  <c:v>1.9135580856968124</c:v>
                </c:pt>
                <c:pt idx="5">
                  <c:v>1.8574385591663203</c:v>
                </c:pt>
                <c:pt idx="6">
                  <c:v>1.660225569516393</c:v>
                </c:pt>
                <c:pt idx="7">
                  <c:v>1.8947603820073353</c:v>
                </c:pt>
                <c:pt idx="8">
                  <c:v>2.1434125199481961</c:v>
                </c:pt>
                <c:pt idx="9">
                  <c:v>1.7163292096936709</c:v>
                </c:pt>
                <c:pt idx="10">
                  <c:v>1.6772457316975471</c:v>
                </c:pt>
                <c:pt idx="11">
                  <c:v>1.6279061499143641</c:v>
                </c:pt>
                <c:pt idx="12">
                  <c:v>1.5021097192648083</c:v>
                </c:pt>
                <c:pt idx="13">
                  <c:v>1.8846039547758493</c:v>
                </c:pt>
                <c:pt idx="14">
                  <c:v>1.8384501207950796</c:v>
                </c:pt>
                <c:pt idx="15">
                  <c:v>2.0340410889175065</c:v>
                </c:pt>
                <c:pt idx="16">
                  <c:v>1.7678575550013436</c:v>
                </c:pt>
                <c:pt idx="17">
                  <c:v>1.420368264438556</c:v>
                </c:pt>
                <c:pt idx="18">
                  <c:v>1.6615517082834368</c:v>
                </c:pt>
                <c:pt idx="19">
                  <c:v>1.3715094797095038</c:v>
                </c:pt>
                <c:pt idx="20">
                  <c:v>1.4734672285281365</c:v>
                </c:pt>
                <c:pt idx="21">
                  <c:v>1.3816136036537792</c:v>
                </c:pt>
                <c:pt idx="22">
                  <c:v>2.5513174787995987</c:v>
                </c:pt>
                <c:pt idx="23">
                  <c:v>2.4247232003546815</c:v>
                </c:pt>
                <c:pt idx="24">
                  <c:v>2.0168128650283816</c:v>
                </c:pt>
                <c:pt idx="25">
                  <c:v>2.6915157579646172</c:v>
                </c:pt>
                <c:pt idx="26">
                  <c:v>2.3370507551350745</c:v>
                </c:pt>
                <c:pt idx="27">
                  <c:v>2.0434562681344404</c:v>
                </c:pt>
                <c:pt idx="28">
                  <c:v>2.0455217863993727</c:v>
                </c:pt>
                <c:pt idx="29">
                  <c:v>1.9702952024435481</c:v>
                </c:pt>
                <c:pt idx="30">
                  <c:v>1.7729582235738457</c:v>
                </c:pt>
                <c:pt idx="31">
                  <c:v>1.5967256346577987</c:v>
                </c:pt>
              </c:numCache>
            </c:numRef>
          </c:val>
          <c:smooth val="0"/>
          <c:extLst>
            <c:ext xmlns:c16="http://schemas.microsoft.com/office/drawing/2014/chart" uri="{C3380CC4-5D6E-409C-BE32-E72D297353CC}">
              <c16:uniqueId val="{00000001-346B-4F58-81B2-319DD10944A0}"/>
            </c:ext>
          </c:extLst>
        </c:ser>
        <c:ser>
          <c:idx val="2"/>
          <c:order val="1"/>
          <c:tx>
            <c:v>60 to 64</c:v>
          </c:tx>
          <c:spPr>
            <a:ln w="28575" cap="rnd">
              <a:solidFill>
                <a:schemeClr val="tx1"/>
              </a:solidFill>
              <a:prstDash val="sysDot"/>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ASEC'!$J$5:$J$38</c:f>
              <c:numCache>
                <c:formatCode>.0</c:formatCode>
                <c:ptCount val="34"/>
                <c:pt idx="0">
                  <c:v>3.024835060018837</c:v>
                </c:pt>
                <c:pt idx="1">
                  <c:v>2.5526964002566257</c:v>
                </c:pt>
                <c:pt idx="2">
                  <c:v>2.4392776727658854</c:v>
                </c:pt>
                <c:pt idx="3">
                  <c:v>2.511247047618471</c:v>
                </c:pt>
                <c:pt idx="4">
                  <c:v>1.9334013839270792</c:v>
                </c:pt>
                <c:pt idx="5">
                  <c:v>2.1635228972435758</c:v>
                </c:pt>
                <c:pt idx="6">
                  <c:v>1.9741072542768416</c:v>
                </c:pt>
                <c:pt idx="7">
                  <c:v>2.1452049803035824</c:v>
                </c:pt>
                <c:pt idx="8">
                  <c:v>1.8787781187863173</c:v>
                </c:pt>
                <c:pt idx="9">
                  <c:v>1.3781771201117887</c:v>
                </c:pt>
                <c:pt idx="10">
                  <c:v>1.7453630108964169</c:v>
                </c:pt>
                <c:pt idx="11">
                  <c:v>2.042365881304248</c:v>
                </c:pt>
                <c:pt idx="12">
                  <c:v>1.7249542342375381</c:v>
                </c:pt>
                <c:pt idx="13">
                  <c:v>1.7819146935946242</c:v>
                </c:pt>
                <c:pt idx="14">
                  <c:v>1.9086626323066389</c:v>
                </c:pt>
                <c:pt idx="15">
                  <c:v>1.9226589984976519</c:v>
                </c:pt>
                <c:pt idx="16">
                  <c:v>1.8620537416145093</c:v>
                </c:pt>
                <c:pt idx="17">
                  <c:v>1.7660966831927563</c:v>
                </c:pt>
                <c:pt idx="18">
                  <c:v>1.5363386853934835</c:v>
                </c:pt>
                <c:pt idx="19">
                  <c:v>1.6039296451287517</c:v>
                </c:pt>
                <c:pt idx="20">
                  <c:v>1.8266657196590386</c:v>
                </c:pt>
                <c:pt idx="21">
                  <c:v>1.7157004978770862</c:v>
                </c:pt>
                <c:pt idx="22">
                  <c:v>2.3049428617086085</c:v>
                </c:pt>
                <c:pt idx="23">
                  <c:v>2.6782814607577246</c:v>
                </c:pt>
                <c:pt idx="24">
                  <c:v>2.7674845615573478</c:v>
                </c:pt>
                <c:pt idx="25">
                  <c:v>2.5640784858984205</c:v>
                </c:pt>
                <c:pt idx="26">
                  <c:v>2.3014979038669536</c:v>
                </c:pt>
                <c:pt idx="27">
                  <c:v>2.0430487770174204</c:v>
                </c:pt>
                <c:pt idx="28">
                  <c:v>2.3539967451200594</c:v>
                </c:pt>
                <c:pt idx="29">
                  <c:v>2.2257057333692738</c:v>
                </c:pt>
                <c:pt idx="30">
                  <c:v>2.0541175838296817</c:v>
                </c:pt>
                <c:pt idx="31">
                  <c:v>2.1142462421103847</c:v>
                </c:pt>
              </c:numCache>
            </c:numRef>
          </c:val>
          <c:smooth val="0"/>
          <c:extLst>
            <c:ext xmlns:c16="http://schemas.microsoft.com/office/drawing/2014/chart" uri="{C3380CC4-5D6E-409C-BE32-E72D297353CC}">
              <c16:uniqueId val="{00000002-346B-4F58-81B2-319DD10944A0}"/>
            </c:ext>
          </c:extLst>
        </c:ser>
        <c:ser>
          <c:idx val="3"/>
          <c:order val="2"/>
          <c:tx>
            <c:v>65 to 69</c:v>
          </c:tx>
          <c:spPr>
            <a:ln w="28575" cap="rnd">
              <a:solidFill>
                <a:srgbClr val="FF00FF"/>
              </a:solidFill>
              <a:round/>
            </a:ln>
            <a:effectLst/>
          </c:spPr>
          <c:marker>
            <c:symbol val="none"/>
          </c:marker>
          <c:cat>
            <c:numRef>
              <c:f>'CPS ASEC'!$A$5:$A$38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'CPS ASEC'!$P$5:$P$38</c:f>
              <c:numCache>
                <c:formatCode>.0</c:formatCode>
                <c:ptCount val="34"/>
                <c:pt idx="0">
                  <c:v>1.1848962450137475</c:v>
                </c:pt>
                <c:pt idx="1">
                  <c:v>1.2632283614564366</c:v>
                </c:pt>
                <c:pt idx="2">
                  <c:v>1.2134530802101926</c:v>
                </c:pt>
                <c:pt idx="3">
                  <c:v>0.9651239738393822</c:v>
                </c:pt>
                <c:pt idx="4">
                  <c:v>1.1084727534306829</c:v>
                </c:pt>
                <c:pt idx="5">
                  <c:v>1.3266597745995119</c:v>
                </c:pt>
                <c:pt idx="6">
                  <c:v>1.0043352732371575</c:v>
                </c:pt>
                <c:pt idx="7">
                  <c:v>0.91468275811305344</c:v>
                </c:pt>
                <c:pt idx="8">
                  <c:v>0.75245904514155471</c:v>
                </c:pt>
                <c:pt idx="9">
                  <c:v>0.79775582474421303</c:v>
                </c:pt>
                <c:pt idx="10">
                  <c:v>0.8382948757018317</c:v>
                </c:pt>
                <c:pt idx="11">
                  <c:v>0.89708210457347648</c:v>
                </c:pt>
                <c:pt idx="12">
                  <c:v>0.79361846101449374</c:v>
                </c:pt>
                <c:pt idx="13">
                  <c:v>0.54932574179360394</c:v>
                </c:pt>
                <c:pt idx="14">
                  <c:v>0.86143851591577347</c:v>
                </c:pt>
                <c:pt idx="15">
                  <c:v>0.75250653613096419</c:v>
                </c:pt>
                <c:pt idx="16">
                  <c:v>0.82351508181950894</c:v>
                </c:pt>
                <c:pt idx="17">
                  <c:v>0.9010630245175637</c:v>
                </c:pt>
                <c:pt idx="18">
                  <c:v>0.90641309340596643</c:v>
                </c:pt>
                <c:pt idx="19">
                  <c:v>0.73817707006432287</c:v>
                </c:pt>
                <c:pt idx="20">
                  <c:v>1.0881375135336098</c:v>
                </c:pt>
                <c:pt idx="21">
                  <c:v>0.82611312631212208</c:v>
                </c:pt>
                <c:pt idx="22">
                  <c:v>1.9012995167997375</c:v>
                </c:pt>
                <c:pt idx="23">
                  <c:v>1.6120373047802377</c:v>
                </c:pt>
                <c:pt idx="24">
                  <c:v>1.2268348548312724</c:v>
                </c:pt>
                <c:pt idx="25">
                  <c:v>1.0798097961547302</c:v>
                </c:pt>
                <c:pt idx="26">
                  <c:v>1.1978862815623388</c:v>
                </c:pt>
                <c:pt idx="27">
                  <c:v>0.84785714293945402</c:v>
                </c:pt>
                <c:pt idx="28">
                  <c:v>1.0873827678077028</c:v>
                </c:pt>
                <c:pt idx="29">
                  <c:v>1.014306503752133</c:v>
                </c:pt>
                <c:pt idx="30">
                  <c:v>1.0191230446093222</c:v>
                </c:pt>
                <c:pt idx="31">
                  <c:v>1.5037472731111163</c:v>
                </c:pt>
              </c:numCache>
            </c:numRef>
          </c:val>
          <c:smooth val="0"/>
          <c:extLst>
            <c:ext xmlns:c16="http://schemas.microsoft.com/office/drawing/2014/chart" uri="{C3380CC4-5D6E-409C-BE32-E72D297353CC}">
              <c16:uniqueId val="{00000003-346B-4F58-81B2-319DD10944A0}"/>
            </c:ext>
          </c:extLst>
        </c:ser>
        <c:dLbls>
          <c:showLegendKey val="0"/>
          <c:showVal val="0"/>
          <c:showCatName val="0"/>
          <c:showSerName val="0"/>
          <c:showPercent val="0"/>
          <c:showBubbleSize val="0"/>
        </c:dLbls>
        <c:smooth val="0"/>
        <c:axId val="207794207"/>
        <c:axId val="219637152"/>
      </c:lineChart>
      <c:catAx>
        <c:axId val="207794207"/>
        <c:scaling>
          <c:orientation val="minMax"/>
        </c:scaling>
        <c:delete val="0"/>
        <c:axPos val="b"/>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219637152"/>
        <c:crosses val="autoZero"/>
        <c:auto val="1"/>
        <c:lblAlgn val="ctr"/>
        <c:lblOffset val="100"/>
        <c:noMultiLvlLbl val="0"/>
      </c:catAx>
      <c:valAx>
        <c:axId val="219637152"/>
        <c:scaling>
          <c:orientation val="minMax"/>
          <c:max val="8"/>
          <c:min val="0"/>
        </c:scaling>
        <c:delete val="0"/>
        <c:axPos val="l"/>
        <c:majorGridlines>
          <c:spPr>
            <a:ln w="9525" cap="flat" cmpd="sng" algn="ctr">
              <a:solidFill>
                <a:srgbClr val="0070C0"/>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500" b="1">
                    <a:solidFill>
                      <a:srgbClr val="004D86"/>
                    </a:solidFill>
                  </a:rPr>
                  <a:t>% of individuals receiving disability benefits, except for SSI</a:t>
                </a:r>
              </a:p>
            </c:rich>
          </c:tx>
          <c:layout>
            <c:manualLayout>
              <c:xMode val="edge"/>
              <c:yMode val="edge"/>
              <c:x val="7.0360598065083556E-3"/>
              <c:y val="7.723534558180225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207794207"/>
        <c:crossesAt val="1"/>
        <c:crossBetween val="midCat"/>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18</xdr:col>
      <xdr:colOff>57150</xdr:colOff>
      <xdr:row>5</xdr:row>
      <xdr:rowOff>57149</xdr:rowOff>
    </xdr:from>
    <xdr:to>
      <xdr:col>27</xdr:col>
      <xdr:colOff>409575</xdr:colOff>
      <xdr:row>24</xdr:row>
      <xdr:rowOff>9524</xdr:rowOff>
    </xdr:to>
    <xdr:graphicFrame macro="">
      <xdr:nvGraphicFramePr>
        <xdr:cNvPr id="2" name="Chart 1">
          <a:extLst>
            <a:ext uri="{FF2B5EF4-FFF2-40B4-BE49-F238E27FC236}">
              <a16:creationId xmlns:a16="http://schemas.microsoft.com/office/drawing/2014/main" id="{1DD56200-6067-8A01-1342-A62334A405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52386</xdr:colOff>
      <xdr:row>24</xdr:row>
      <xdr:rowOff>114300</xdr:rowOff>
    </xdr:from>
    <xdr:to>
      <xdr:col>28</xdr:col>
      <xdr:colOff>552450</xdr:colOff>
      <xdr:row>46</xdr:row>
      <xdr:rowOff>171450</xdr:rowOff>
    </xdr:to>
    <xdr:graphicFrame macro="">
      <xdr:nvGraphicFramePr>
        <xdr:cNvPr id="3" name="Chart 2">
          <a:extLst>
            <a:ext uri="{FF2B5EF4-FFF2-40B4-BE49-F238E27FC236}">
              <a16:creationId xmlns:a16="http://schemas.microsoft.com/office/drawing/2014/main" id="{7F085EA7-299F-D836-C6A2-993CE67004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0.71222</cdr:x>
      <cdr:y>0.78933</cdr:y>
    </cdr:from>
    <cdr:to>
      <cdr:x>0.86495</cdr:x>
      <cdr:y>0.864</cdr:y>
    </cdr:to>
    <cdr:sp macro="" textlink="">
      <cdr:nvSpPr>
        <cdr:cNvPr id="2" name="TextBox 1">
          <a:extLst xmlns:a="http://schemas.openxmlformats.org/drawingml/2006/main">
            <a:ext uri="{FF2B5EF4-FFF2-40B4-BE49-F238E27FC236}">
              <a16:creationId xmlns:a16="http://schemas.microsoft.com/office/drawing/2014/main" id="{09980549-1AFD-738A-4687-3E874F319139}"/>
            </a:ext>
          </a:extLst>
        </cdr:cNvPr>
        <cdr:cNvSpPr txBox="1"/>
      </cdr:nvSpPr>
      <cdr:spPr>
        <a:xfrm xmlns:a="http://schemas.openxmlformats.org/drawingml/2006/main">
          <a:off x="4219575" y="2819402"/>
          <a:ext cx="904875" cy="266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00B050"/>
              </a:solidFill>
            </a:rPr>
            <a:t>55 to 59</a:t>
          </a:r>
        </a:p>
      </cdr:txBody>
    </cdr:sp>
  </cdr:relSizeAnchor>
  <cdr:relSizeAnchor xmlns:cdr="http://schemas.openxmlformats.org/drawingml/2006/chartDrawing">
    <cdr:from>
      <cdr:x>0.72669</cdr:x>
      <cdr:y>0.64533</cdr:y>
    </cdr:from>
    <cdr:to>
      <cdr:x>0.87781</cdr:x>
      <cdr:y>0.776</cdr:y>
    </cdr:to>
    <cdr:sp macro="" textlink="">
      <cdr:nvSpPr>
        <cdr:cNvPr id="3" name="TextBox 2">
          <a:extLst xmlns:a="http://schemas.openxmlformats.org/drawingml/2006/main">
            <a:ext uri="{FF2B5EF4-FFF2-40B4-BE49-F238E27FC236}">
              <a16:creationId xmlns:a16="http://schemas.microsoft.com/office/drawing/2014/main" id="{0DC7745D-A4BA-567B-D22B-9002FC5FF629}"/>
            </a:ext>
          </a:extLst>
        </cdr:cNvPr>
        <cdr:cNvSpPr txBox="1"/>
      </cdr:nvSpPr>
      <cdr:spPr>
        <a:xfrm xmlns:a="http://schemas.openxmlformats.org/drawingml/2006/main">
          <a:off x="4305300" y="2305051"/>
          <a:ext cx="895350" cy="4667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0.71383</cdr:x>
      <cdr:y>0.66667</cdr:y>
    </cdr:from>
    <cdr:to>
      <cdr:x>0.86334</cdr:x>
      <cdr:y>0.768</cdr:y>
    </cdr:to>
    <cdr:sp macro="" textlink="">
      <cdr:nvSpPr>
        <cdr:cNvPr id="4" name="TextBox 3">
          <a:extLst xmlns:a="http://schemas.openxmlformats.org/drawingml/2006/main">
            <a:ext uri="{FF2B5EF4-FFF2-40B4-BE49-F238E27FC236}">
              <a16:creationId xmlns:a16="http://schemas.microsoft.com/office/drawing/2014/main" id="{BD227C0F-8941-235D-EB43-6C4893AFCAEE}"/>
            </a:ext>
          </a:extLst>
        </cdr:cNvPr>
        <cdr:cNvSpPr txBox="1"/>
      </cdr:nvSpPr>
      <cdr:spPr>
        <a:xfrm xmlns:a="http://schemas.openxmlformats.org/drawingml/2006/main">
          <a:off x="4229100" y="2381251"/>
          <a:ext cx="885825" cy="3619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rgbClr val="00B050"/>
              </a:solidFill>
              <a:effectLst/>
              <a:latin typeface="+mn-lt"/>
              <a:ea typeface="+mn-ea"/>
              <a:cs typeface="+mn-cs"/>
            </a:rPr>
            <a:t>60 to 64</a:t>
          </a:r>
          <a:endParaRPr lang="en-US" sz="1400">
            <a:solidFill>
              <a:srgbClr val="00B050"/>
            </a:solidFill>
            <a:effectLst/>
          </a:endParaRPr>
        </a:p>
      </cdr:txBody>
    </cdr:sp>
  </cdr:relSizeAnchor>
  <cdr:relSizeAnchor xmlns:cdr="http://schemas.openxmlformats.org/drawingml/2006/chartDrawing">
    <cdr:from>
      <cdr:x>0.83119</cdr:x>
      <cdr:y>0</cdr:y>
    </cdr:from>
    <cdr:to>
      <cdr:x>0.98071</cdr:x>
      <cdr:y>0.096</cdr:y>
    </cdr:to>
    <cdr:sp macro="" textlink="">
      <cdr:nvSpPr>
        <cdr:cNvPr id="5" name="TextBox 4">
          <a:extLst xmlns:a="http://schemas.openxmlformats.org/drawingml/2006/main">
            <a:ext uri="{FF2B5EF4-FFF2-40B4-BE49-F238E27FC236}">
              <a16:creationId xmlns:a16="http://schemas.microsoft.com/office/drawing/2014/main" id="{1F6C2325-6433-25BA-1239-7DE0B449F88B}"/>
            </a:ext>
          </a:extLst>
        </cdr:cNvPr>
        <cdr:cNvSpPr txBox="1"/>
      </cdr:nvSpPr>
      <cdr:spPr>
        <a:xfrm xmlns:a="http://schemas.openxmlformats.org/drawingml/2006/main">
          <a:off x="4924425" y="0"/>
          <a:ext cx="88582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chemeClr val="tx1">
                  <a:lumMod val="50000"/>
                  <a:lumOff val="50000"/>
                </a:schemeClr>
              </a:solidFill>
            </a:rPr>
            <a:t>70 to 74</a:t>
          </a:r>
        </a:p>
      </cdr:txBody>
    </cdr:sp>
  </cdr:relSizeAnchor>
  <cdr:relSizeAnchor xmlns:cdr="http://schemas.openxmlformats.org/drawingml/2006/chartDrawing">
    <cdr:from>
      <cdr:x>0.82637</cdr:x>
      <cdr:y>0.136</cdr:y>
    </cdr:from>
    <cdr:to>
      <cdr:x>0.9582</cdr:x>
      <cdr:y>0.23733</cdr:y>
    </cdr:to>
    <cdr:sp macro="" textlink="">
      <cdr:nvSpPr>
        <cdr:cNvPr id="6" name="TextBox 5">
          <a:extLst xmlns:a="http://schemas.openxmlformats.org/drawingml/2006/main">
            <a:ext uri="{FF2B5EF4-FFF2-40B4-BE49-F238E27FC236}">
              <a16:creationId xmlns:a16="http://schemas.microsoft.com/office/drawing/2014/main" id="{A37AB4AA-25C6-A8B8-BF6B-03F1D43B5FED}"/>
            </a:ext>
          </a:extLst>
        </cdr:cNvPr>
        <cdr:cNvSpPr txBox="1"/>
      </cdr:nvSpPr>
      <cdr:spPr>
        <a:xfrm xmlns:a="http://schemas.openxmlformats.org/drawingml/2006/main">
          <a:off x="4895850" y="485776"/>
          <a:ext cx="781050" cy="3619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chemeClr val="tx1">
                  <a:lumMod val="50000"/>
                  <a:lumOff val="50000"/>
                </a:schemeClr>
              </a:solidFill>
            </a:rPr>
            <a:t>65 to 69</a:t>
          </a:r>
        </a:p>
      </cdr:txBody>
    </cdr:sp>
  </cdr:relSizeAnchor>
  <cdr:relSizeAnchor xmlns:cdr="http://schemas.openxmlformats.org/drawingml/2006/chartDrawing">
    <cdr:from>
      <cdr:x>0.16399</cdr:x>
      <cdr:y>0.14667</cdr:y>
    </cdr:from>
    <cdr:to>
      <cdr:x>0.98714</cdr:x>
      <cdr:y>0.63467</cdr:y>
    </cdr:to>
    <cdr:sp macro="" textlink="">
      <cdr:nvSpPr>
        <cdr:cNvPr id="7" name="TextBox 6">
          <a:extLst xmlns:a="http://schemas.openxmlformats.org/drawingml/2006/main">
            <a:ext uri="{FF2B5EF4-FFF2-40B4-BE49-F238E27FC236}">
              <a16:creationId xmlns:a16="http://schemas.microsoft.com/office/drawing/2014/main" id="{58268CC3-E275-4140-1986-5F70BBA15D3F}"/>
            </a:ext>
          </a:extLst>
        </cdr:cNvPr>
        <cdr:cNvSpPr txBox="1"/>
      </cdr:nvSpPr>
      <cdr:spPr>
        <a:xfrm xmlns:a="http://schemas.openxmlformats.org/drawingml/2006/main">
          <a:off x="971550" y="523876"/>
          <a:ext cx="4876800" cy="174307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500" b="1">
              <a:solidFill>
                <a:srgbClr val="7030A0"/>
              </a:solidFill>
            </a:rPr>
            <a:t>As the "normal"</a:t>
          </a:r>
          <a:r>
            <a:rPr lang="en-US" sz="1500" b="1" baseline="0">
              <a:solidFill>
                <a:srgbClr val="7030A0"/>
              </a:solidFill>
            </a:rPr>
            <a:t> Social Security </a:t>
          </a:r>
        </a:p>
        <a:p xmlns:a="http://schemas.openxmlformats.org/drawingml/2006/main">
          <a:r>
            <a:rPr lang="en-US" sz="1500" b="1" baseline="0">
              <a:solidFill>
                <a:srgbClr val="7030A0"/>
              </a:solidFill>
            </a:rPr>
            <a:t>age rose from 65 to 67, as a result of 1983 legislation </a:t>
          </a:r>
        </a:p>
        <a:p xmlns:a="http://schemas.openxmlformats.org/drawingml/2006/main">
          <a:r>
            <a:rPr lang="en-US" sz="1500" b="1" baseline="0">
              <a:solidFill>
                <a:srgbClr val="7030A0"/>
              </a:solidFill>
            </a:rPr>
            <a:t>that gradually took effect between 2003 and 2027, after 2000 recipient rates fell among individuals aged 60 to 64 and 65 to 69, while remaining relatively stable for younger and older individuals.</a:t>
          </a:r>
          <a:r>
            <a:rPr lang="en-US" sz="1800" b="1" baseline="0">
              <a:solidFill>
                <a:srgbClr val="7030A0"/>
              </a:solidFill>
            </a:rPr>
            <a:t> </a:t>
          </a:r>
          <a:endParaRPr lang="en-US" sz="1800" b="1">
            <a:solidFill>
              <a:srgbClr val="7030A0"/>
            </a:solidFil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32</xdr:col>
      <xdr:colOff>171450</xdr:colOff>
      <xdr:row>4</xdr:row>
      <xdr:rowOff>66675</xdr:rowOff>
    </xdr:from>
    <xdr:to>
      <xdr:col>42</xdr:col>
      <xdr:colOff>238125</xdr:colOff>
      <xdr:row>25</xdr:row>
      <xdr:rowOff>9525</xdr:rowOff>
    </xdr:to>
    <xdr:graphicFrame macro="">
      <xdr:nvGraphicFramePr>
        <xdr:cNvPr id="2" name="Chart 1">
          <a:extLst>
            <a:ext uri="{FF2B5EF4-FFF2-40B4-BE49-F238E27FC236}">
              <a16:creationId xmlns:a16="http://schemas.microsoft.com/office/drawing/2014/main" id="{7AA6C0ED-7394-2EA2-04E1-17B22157F2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152400</xdr:colOff>
      <xdr:row>25</xdr:row>
      <xdr:rowOff>171450</xdr:rowOff>
    </xdr:from>
    <xdr:to>
      <xdr:col>42</xdr:col>
      <xdr:colOff>219075</xdr:colOff>
      <xdr:row>46</xdr:row>
      <xdr:rowOff>114300</xdr:rowOff>
    </xdr:to>
    <xdr:graphicFrame macro="">
      <xdr:nvGraphicFramePr>
        <xdr:cNvPr id="3" name="Chart 2">
          <a:extLst>
            <a:ext uri="{FF2B5EF4-FFF2-40B4-BE49-F238E27FC236}">
              <a16:creationId xmlns:a16="http://schemas.microsoft.com/office/drawing/2014/main" id="{31284B20-17FC-4E53-B031-892237E675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0.7357</cdr:x>
      <cdr:y>0.77778</cdr:y>
    </cdr:from>
    <cdr:to>
      <cdr:x>0.90108</cdr:x>
      <cdr:y>0.85266</cdr:y>
    </cdr:to>
    <cdr:sp macro="" textlink="">
      <cdr:nvSpPr>
        <cdr:cNvPr id="2" name="TextBox 1">
          <a:extLst xmlns:a="http://schemas.openxmlformats.org/drawingml/2006/main">
            <a:ext uri="{FF2B5EF4-FFF2-40B4-BE49-F238E27FC236}">
              <a16:creationId xmlns:a16="http://schemas.microsoft.com/office/drawing/2014/main" id="{74D72D95-2E3B-1F6E-054E-85082DC09961}"/>
            </a:ext>
          </a:extLst>
        </cdr:cNvPr>
        <cdr:cNvSpPr txBox="1"/>
      </cdr:nvSpPr>
      <cdr:spPr>
        <a:xfrm xmlns:a="http://schemas.openxmlformats.org/drawingml/2006/main">
          <a:off x="4533900" y="3067050"/>
          <a:ext cx="10191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00B050"/>
              </a:solidFill>
            </a:rPr>
            <a:t>55 to 59</a:t>
          </a:r>
        </a:p>
      </cdr:txBody>
    </cdr:sp>
  </cdr:relSizeAnchor>
  <cdr:relSizeAnchor xmlns:cdr="http://schemas.openxmlformats.org/drawingml/2006/chartDrawing">
    <cdr:from>
      <cdr:x>0.73416</cdr:x>
      <cdr:y>0.67391</cdr:y>
    </cdr:from>
    <cdr:to>
      <cdr:x>0.8779</cdr:x>
      <cdr:y>0.75845</cdr:y>
    </cdr:to>
    <cdr:sp macro="" textlink="">
      <cdr:nvSpPr>
        <cdr:cNvPr id="3" name="TextBox 2">
          <a:extLst xmlns:a="http://schemas.openxmlformats.org/drawingml/2006/main">
            <a:ext uri="{FF2B5EF4-FFF2-40B4-BE49-F238E27FC236}">
              <a16:creationId xmlns:a16="http://schemas.microsoft.com/office/drawing/2014/main" id="{39B5357A-D0E5-26DF-5398-07896B3CE1DE}"/>
            </a:ext>
          </a:extLst>
        </cdr:cNvPr>
        <cdr:cNvSpPr txBox="1"/>
      </cdr:nvSpPr>
      <cdr:spPr>
        <a:xfrm xmlns:a="http://schemas.openxmlformats.org/drawingml/2006/main">
          <a:off x="4524375" y="2657475"/>
          <a:ext cx="8858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00B050"/>
              </a:solidFill>
            </a:rPr>
            <a:t>60 to 64</a:t>
          </a:r>
        </a:p>
      </cdr:txBody>
    </cdr:sp>
  </cdr:relSizeAnchor>
  <cdr:relSizeAnchor xmlns:cdr="http://schemas.openxmlformats.org/drawingml/2006/chartDrawing">
    <cdr:from>
      <cdr:x>0.8238</cdr:x>
      <cdr:y>0.21256</cdr:y>
    </cdr:from>
    <cdr:to>
      <cdr:x>0.97836</cdr:x>
      <cdr:y>0.28261</cdr:y>
    </cdr:to>
    <cdr:sp macro="" textlink="">
      <cdr:nvSpPr>
        <cdr:cNvPr id="4" name="TextBox 3">
          <a:extLst xmlns:a="http://schemas.openxmlformats.org/drawingml/2006/main">
            <a:ext uri="{FF2B5EF4-FFF2-40B4-BE49-F238E27FC236}">
              <a16:creationId xmlns:a16="http://schemas.microsoft.com/office/drawing/2014/main" id="{DB381504-3AF8-A01E-0CB3-5AADD300D764}"/>
            </a:ext>
          </a:extLst>
        </cdr:cNvPr>
        <cdr:cNvSpPr txBox="1"/>
      </cdr:nvSpPr>
      <cdr:spPr>
        <a:xfrm xmlns:a="http://schemas.openxmlformats.org/drawingml/2006/main">
          <a:off x="5076825" y="838200"/>
          <a:ext cx="952500"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FF00FF"/>
              </a:solidFill>
            </a:rPr>
            <a:t>65 to 69</a:t>
          </a:r>
        </a:p>
      </cdr:txBody>
    </cdr:sp>
  </cdr:relSizeAnchor>
  <cdr:relSizeAnchor xmlns:cdr="http://schemas.openxmlformats.org/drawingml/2006/chartDrawing">
    <cdr:from>
      <cdr:x>0.77743</cdr:x>
      <cdr:y>0.11594</cdr:y>
    </cdr:from>
    <cdr:to>
      <cdr:x>0.91499</cdr:x>
      <cdr:y>0.21256</cdr:y>
    </cdr:to>
    <cdr:sp macro="" textlink="">
      <cdr:nvSpPr>
        <cdr:cNvPr id="5" name="TextBox 4">
          <a:extLst xmlns:a="http://schemas.openxmlformats.org/drawingml/2006/main">
            <a:ext uri="{FF2B5EF4-FFF2-40B4-BE49-F238E27FC236}">
              <a16:creationId xmlns:a16="http://schemas.microsoft.com/office/drawing/2014/main" id="{526E5D66-700E-EB32-8D8C-5326953CECA7}"/>
            </a:ext>
          </a:extLst>
        </cdr:cNvPr>
        <cdr:cNvSpPr txBox="1"/>
      </cdr:nvSpPr>
      <cdr:spPr>
        <a:xfrm xmlns:a="http://schemas.openxmlformats.org/drawingml/2006/main">
          <a:off x="4791075" y="457200"/>
          <a:ext cx="847725" cy="381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chemeClr val="tx1">
                  <a:lumMod val="50000"/>
                  <a:lumOff val="50000"/>
                </a:schemeClr>
              </a:solidFill>
            </a:rPr>
            <a:t>70 to 74</a:t>
          </a:r>
        </a:p>
      </cdr:txBody>
    </cdr:sp>
  </cdr:relSizeAnchor>
  <cdr:relSizeAnchor xmlns:cdr="http://schemas.openxmlformats.org/drawingml/2006/chartDrawing">
    <cdr:from>
      <cdr:x>0.77743</cdr:x>
      <cdr:y>0.01932</cdr:y>
    </cdr:from>
    <cdr:to>
      <cdr:x>0.9459</cdr:x>
      <cdr:y>0.11111</cdr:y>
    </cdr:to>
    <cdr:sp macro="" textlink="">
      <cdr:nvSpPr>
        <cdr:cNvPr id="6" name="TextBox 5">
          <a:extLst xmlns:a="http://schemas.openxmlformats.org/drawingml/2006/main">
            <a:ext uri="{FF2B5EF4-FFF2-40B4-BE49-F238E27FC236}">
              <a16:creationId xmlns:a16="http://schemas.microsoft.com/office/drawing/2014/main" id="{8B9AC00A-102C-135F-0EA1-B63518730B6C}"/>
            </a:ext>
          </a:extLst>
        </cdr:cNvPr>
        <cdr:cNvSpPr txBox="1"/>
      </cdr:nvSpPr>
      <cdr:spPr>
        <a:xfrm xmlns:a="http://schemas.openxmlformats.org/drawingml/2006/main">
          <a:off x="4791075" y="76200"/>
          <a:ext cx="1038225" cy="3619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chemeClr val="tx1">
                  <a:lumMod val="50000"/>
                  <a:lumOff val="50000"/>
                </a:schemeClr>
              </a:solidFill>
            </a:rPr>
            <a:t>75 &amp; older</a:t>
          </a:r>
        </a:p>
      </cdr:txBody>
    </cdr:sp>
  </cdr:relSizeAnchor>
  <cdr:relSizeAnchor xmlns:cdr="http://schemas.openxmlformats.org/drawingml/2006/chartDrawing">
    <cdr:from>
      <cdr:x>0.11437</cdr:x>
      <cdr:y>0.13285</cdr:y>
    </cdr:from>
    <cdr:to>
      <cdr:x>0.99691</cdr:x>
      <cdr:y>0.64976</cdr:y>
    </cdr:to>
    <cdr:sp macro="" textlink="">
      <cdr:nvSpPr>
        <cdr:cNvPr id="7" name="TextBox 6">
          <a:extLst xmlns:a="http://schemas.openxmlformats.org/drawingml/2006/main">
            <a:ext uri="{FF2B5EF4-FFF2-40B4-BE49-F238E27FC236}">
              <a16:creationId xmlns:a16="http://schemas.microsoft.com/office/drawing/2014/main" id="{AD525E7C-FCED-DC73-1384-3D3F9720893B}"/>
            </a:ext>
          </a:extLst>
        </cdr:cNvPr>
        <cdr:cNvSpPr txBox="1"/>
      </cdr:nvSpPr>
      <cdr:spPr>
        <a:xfrm xmlns:a="http://schemas.openxmlformats.org/drawingml/2006/main">
          <a:off x="704850" y="523875"/>
          <a:ext cx="5438775" cy="20383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rgbClr val="7030A0"/>
              </a:solidFill>
            </a:rPr>
            <a:t>Receipt of Social Security</a:t>
          </a:r>
        </a:p>
        <a:p xmlns:a="http://schemas.openxmlformats.org/drawingml/2006/main">
          <a:r>
            <a:rPr lang="en-US" sz="1600" b="1">
              <a:solidFill>
                <a:srgbClr val="7030A0"/>
              </a:solidFill>
            </a:rPr>
            <a:t>benefits has declined among each </a:t>
          </a:r>
        </a:p>
        <a:p xmlns:a="http://schemas.openxmlformats.org/drawingml/2006/main">
          <a:r>
            <a:rPr lang="en-US" sz="1600" b="1">
              <a:solidFill>
                <a:srgbClr val="7030A0"/>
              </a:solidFill>
            </a:rPr>
            <a:t>cohort</a:t>
          </a:r>
          <a:r>
            <a:rPr lang="en-US" sz="1600" b="1" baseline="0">
              <a:solidFill>
                <a:srgbClr val="7030A0"/>
              </a:solidFill>
            </a:rPr>
            <a:t> of older workers over the past three decades</a:t>
          </a:r>
        </a:p>
        <a:p xmlns:a="http://schemas.openxmlformats.org/drawingml/2006/main">
          <a:r>
            <a:rPr lang="en-US" sz="1600" b="1" baseline="0">
              <a:solidFill>
                <a:srgbClr val="7030A0"/>
              </a:solidFill>
            </a:rPr>
            <a:t>except for 55 to 59 year-olds -- especially among the 60-64 and 65-69 year-olds most affected by raising the age of full retirement benefits from 65 to 67 over 2003 to 2027.</a:t>
          </a:r>
          <a:endParaRPr lang="en-US" sz="1600" b="1">
            <a:solidFill>
              <a:srgbClr val="7030A0"/>
            </a:solidFill>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0.18238</cdr:x>
      <cdr:y>0.53865</cdr:y>
    </cdr:from>
    <cdr:to>
      <cdr:x>0.34776</cdr:x>
      <cdr:y>0.61353</cdr:y>
    </cdr:to>
    <cdr:sp macro="" textlink="">
      <cdr:nvSpPr>
        <cdr:cNvPr id="2" name="TextBox 1">
          <a:extLst xmlns:a="http://schemas.openxmlformats.org/drawingml/2006/main">
            <a:ext uri="{FF2B5EF4-FFF2-40B4-BE49-F238E27FC236}">
              <a16:creationId xmlns:a16="http://schemas.microsoft.com/office/drawing/2014/main" id="{74D72D95-2E3B-1F6E-054E-85082DC09961}"/>
            </a:ext>
          </a:extLst>
        </cdr:cNvPr>
        <cdr:cNvSpPr txBox="1"/>
      </cdr:nvSpPr>
      <cdr:spPr>
        <a:xfrm xmlns:a="http://schemas.openxmlformats.org/drawingml/2006/main">
          <a:off x="1123930" y="2124084"/>
          <a:ext cx="1019183" cy="2952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ysClr val="windowText" lastClr="000000"/>
              </a:solidFill>
            </a:rPr>
            <a:t>60 to 64</a:t>
          </a:r>
        </a:p>
      </cdr:txBody>
    </cdr:sp>
  </cdr:relSizeAnchor>
  <cdr:relSizeAnchor xmlns:cdr="http://schemas.openxmlformats.org/drawingml/2006/chartDrawing">
    <cdr:from>
      <cdr:x>0.7728</cdr:x>
      <cdr:y>0.66908</cdr:y>
    </cdr:from>
    <cdr:to>
      <cdr:x>0.91654</cdr:x>
      <cdr:y>0.75362</cdr:y>
    </cdr:to>
    <cdr:sp macro="" textlink="">
      <cdr:nvSpPr>
        <cdr:cNvPr id="3" name="TextBox 2">
          <a:extLst xmlns:a="http://schemas.openxmlformats.org/drawingml/2006/main">
            <a:ext uri="{FF2B5EF4-FFF2-40B4-BE49-F238E27FC236}">
              <a16:creationId xmlns:a16="http://schemas.microsoft.com/office/drawing/2014/main" id="{39B5357A-D0E5-26DF-5398-07896B3CE1DE}"/>
            </a:ext>
          </a:extLst>
        </cdr:cNvPr>
        <cdr:cNvSpPr txBox="1"/>
      </cdr:nvSpPr>
      <cdr:spPr>
        <a:xfrm xmlns:a="http://schemas.openxmlformats.org/drawingml/2006/main">
          <a:off x="4762514" y="2638413"/>
          <a:ext cx="885823" cy="3333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00B050"/>
              </a:solidFill>
            </a:rPr>
            <a:t>55 to 59</a:t>
          </a:r>
        </a:p>
      </cdr:txBody>
    </cdr:sp>
  </cdr:relSizeAnchor>
  <cdr:relSizeAnchor xmlns:cdr="http://schemas.openxmlformats.org/drawingml/2006/chartDrawing">
    <cdr:from>
      <cdr:x>0.7728</cdr:x>
      <cdr:y>0.78985</cdr:y>
    </cdr:from>
    <cdr:to>
      <cdr:x>0.92736</cdr:x>
      <cdr:y>0.8599</cdr:y>
    </cdr:to>
    <cdr:sp macro="" textlink="">
      <cdr:nvSpPr>
        <cdr:cNvPr id="4" name="TextBox 3">
          <a:extLst xmlns:a="http://schemas.openxmlformats.org/drawingml/2006/main">
            <a:ext uri="{FF2B5EF4-FFF2-40B4-BE49-F238E27FC236}">
              <a16:creationId xmlns:a16="http://schemas.microsoft.com/office/drawing/2014/main" id="{DB381504-3AF8-A01E-0CB3-5AADD300D764}"/>
            </a:ext>
          </a:extLst>
        </cdr:cNvPr>
        <cdr:cNvSpPr txBox="1"/>
      </cdr:nvSpPr>
      <cdr:spPr>
        <a:xfrm xmlns:a="http://schemas.openxmlformats.org/drawingml/2006/main">
          <a:off x="4762487" y="3114673"/>
          <a:ext cx="952503" cy="2762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FF00FF"/>
              </a:solidFill>
            </a:rPr>
            <a:t>65 to 69</a:t>
          </a:r>
        </a:p>
      </cdr:txBody>
    </cdr:sp>
  </cdr:relSizeAnchor>
  <cdr:relSizeAnchor xmlns:cdr="http://schemas.openxmlformats.org/drawingml/2006/chartDrawing">
    <cdr:from>
      <cdr:x>0.15765</cdr:x>
      <cdr:y>0.00483</cdr:y>
    </cdr:from>
    <cdr:to>
      <cdr:x>0.99382</cdr:x>
      <cdr:y>0.54589</cdr:y>
    </cdr:to>
    <cdr:sp macro="" textlink="">
      <cdr:nvSpPr>
        <cdr:cNvPr id="8" name="TextBox 7">
          <a:extLst xmlns:a="http://schemas.openxmlformats.org/drawingml/2006/main">
            <a:ext uri="{FF2B5EF4-FFF2-40B4-BE49-F238E27FC236}">
              <a16:creationId xmlns:a16="http://schemas.microsoft.com/office/drawing/2014/main" id="{F03AA602-2032-DE3C-A607-21347BDEB34D}"/>
            </a:ext>
          </a:extLst>
        </cdr:cNvPr>
        <cdr:cNvSpPr txBox="1"/>
      </cdr:nvSpPr>
      <cdr:spPr>
        <a:xfrm xmlns:a="http://schemas.openxmlformats.org/drawingml/2006/main">
          <a:off x="971550" y="19050"/>
          <a:ext cx="5153025" cy="2133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800" b="1">
              <a:solidFill>
                <a:srgbClr val="7030A0"/>
              </a:solidFill>
            </a:rPr>
            <a:t>Disability benefit programs (largely Federal)</a:t>
          </a:r>
          <a:r>
            <a:rPr lang="en-US" sz="1800" b="1" baseline="0">
              <a:solidFill>
                <a:srgbClr val="7030A0"/>
              </a:solidFill>
            </a:rPr>
            <a:t> are designed to assist persons with disabilities (long-term in the case of Social Security Disability Insurance) who are younger than the full SS Old Age Insurance full benefit age (soon to be 67).  Very few older individuals obtain such benefits.</a:t>
          </a:r>
          <a:endParaRPr lang="en-US" sz="1800" b="1">
            <a:solidFill>
              <a:srgbClr val="7030A0"/>
            </a:solidFill>
          </a:endParaRP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nsus.gov/topics/income-poverty/public-assistance/data/tables.2021.List_1912660285.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nsus.gov/library/visualizations/interactive/social-safety-net-benefits.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ata.census.gov/md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503CA-E74E-4B2D-BCE8-0BBE28B197AE}">
  <dimension ref="A1:I22"/>
  <sheetViews>
    <sheetView workbookViewId="0">
      <selection activeCell="J30" sqref="J30"/>
    </sheetView>
  </sheetViews>
  <sheetFormatPr defaultRowHeight="15" x14ac:dyDescent="0.25"/>
  <cols>
    <col min="1" max="1" width="22.85546875" style="4" customWidth="1"/>
    <col min="2" max="7" width="9.140625" style="6"/>
    <col min="8" max="8" width="9.140625" style="2"/>
    <col min="9" max="9" width="9.140625" style="6"/>
    <col min="10" max="16384" width="9.140625" style="2"/>
  </cols>
  <sheetData>
    <row r="1" spans="1:9" s="1" customFormat="1" ht="45" x14ac:dyDescent="0.25">
      <c r="A1" s="3" t="s">
        <v>0</v>
      </c>
      <c r="B1" s="7" t="s">
        <v>1</v>
      </c>
      <c r="C1" s="7" t="s">
        <v>2</v>
      </c>
      <c r="D1" s="7" t="s">
        <v>12</v>
      </c>
      <c r="E1" s="7" t="s">
        <v>3</v>
      </c>
      <c r="F1" s="7" t="s">
        <v>4</v>
      </c>
      <c r="G1" s="7" t="s">
        <v>5</v>
      </c>
      <c r="I1" s="7"/>
    </row>
    <row r="2" spans="1:9" s="1" customFormat="1" x14ac:dyDescent="0.25">
      <c r="A2" s="3"/>
      <c r="B2" s="22" t="s">
        <v>6</v>
      </c>
      <c r="C2" s="23"/>
      <c r="D2" s="23"/>
      <c r="E2" s="23"/>
      <c r="F2" s="23"/>
      <c r="G2" s="23"/>
      <c r="I2" s="7"/>
    </row>
    <row r="3" spans="1:9" s="1" customFormat="1" x14ac:dyDescent="0.25">
      <c r="A3" s="3"/>
      <c r="B3" s="5"/>
      <c r="C3" s="5"/>
      <c r="D3" s="5"/>
      <c r="E3" s="5"/>
      <c r="F3" s="5"/>
      <c r="G3" s="5"/>
      <c r="I3" s="7"/>
    </row>
    <row r="6" spans="1:9" x14ac:dyDescent="0.25">
      <c r="A6" s="4">
        <v>2013</v>
      </c>
      <c r="B6" s="6">
        <v>0.90830115830115832</v>
      </c>
      <c r="C6" s="6">
        <v>7.9192108971348052</v>
      </c>
      <c r="D6" s="6">
        <v>28.700221238938049</v>
      </c>
      <c r="E6" s="6">
        <v>74.355495251017629</v>
      </c>
      <c r="F6" s="6">
        <v>86.468401486988839</v>
      </c>
      <c r="G6" s="6">
        <v>85.660580021482275</v>
      </c>
    </row>
    <row r="7" spans="1:9" x14ac:dyDescent="0.25">
      <c r="A7" s="4">
        <v>2014</v>
      </c>
      <c r="B7" s="6">
        <v>0.9553831231813773</v>
      </c>
      <c r="C7" s="6">
        <v>7.9402148528724892</v>
      </c>
      <c r="D7" s="6">
        <v>28.077129084092128</v>
      </c>
      <c r="E7" s="6">
        <v>75.666883539362402</v>
      </c>
      <c r="F7" s="6">
        <v>88.366071428571431</v>
      </c>
      <c r="G7" s="6">
        <v>87.63213530655392</v>
      </c>
    </row>
    <row r="8" spans="1:9" x14ac:dyDescent="0.25">
      <c r="A8" s="4">
        <v>2015</v>
      </c>
      <c r="B8" s="6">
        <v>1.0446168768186226</v>
      </c>
      <c r="C8" s="6">
        <v>7.8013856812933016</v>
      </c>
      <c r="D8" s="6">
        <v>28.127282211789257</v>
      </c>
      <c r="E8" s="6">
        <v>76.918238993710702</v>
      </c>
      <c r="F8" s="6">
        <v>89.637305699481857</v>
      </c>
      <c r="G8" s="6">
        <v>88.808290155440417</v>
      </c>
    </row>
    <row r="9" spans="1:9" x14ac:dyDescent="0.25">
      <c r="A9" s="4">
        <v>2016</v>
      </c>
      <c r="B9" s="6">
        <v>0.81835748792270535</v>
      </c>
      <c r="C9" s="6">
        <v>8.4530892448512578</v>
      </c>
      <c r="D9" s="6">
        <v>26.995926680244398</v>
      </c>
      <c r="E9" s="6">
        <v>72.588522588522579</v>
      </c>
      <c r="F9" s="6">
        <v>89.652317880794712</v>
      </c>
      <c r="G9" s="6">
        <v>89.492031872509955</v>
      </c>
    </row>
    <row r="10" spans="1:9" x14ac:dyDescent="0.25">
      <c r="A10" s="4">
        <v>2017</v>
      </c>
      <c r="B10" s="6">
        <v>0.87015503875968991</v>
      </c>
      <c r="C10" s="6">
        <v>7.3130193905817178</v>
      </c>
      <c r="D10" s="6">
        <v>23.119130004943152</v>
      </c>
      <c r="E10" s="6">
        <v>70.017636684303355</v>
      </c>
      <c r="F10" s="6">
        <v>86.419753086419746</v>
      </c>
      <c r="G10" s="6">
        <v>87.16814159292035</v>
      </c>
    </row>
    <row r="11" spans="1:9" x14ac:dyDescent="0.25">
      <c r="A11" s="4">
        <v>2018</v>
      </c>
      <c r="B11" s="6">
        <v>1.010587102983638</v>
      </c>
      <c r="C11" s="6">
        <v>7.1219065077910173</v>
      </c>
      <c r="D11" s="6">
        <v>24.613880742913</v>
      </c>
      <c r="E11" s="6">
        <v>73.874407582938389</v>
      </c>
      <c r="F11" s="6">
        <v>89.204959883296866</v>
      </c>
      <c r="G11" s="6">
        <v>89.059590316573562</v>
      </c>
    </row>
    <row r="12" spans="1:9" x14ac:dyDescent="0.25">
      <c r="A12" s="4">
        <v>2019</v>
      </c>
      <c r="B12" s="6">
        <v>0.94123314065510599</v>
      </c>
      <c r="C12" s="6">
        <v>6.8591224018475758</v>
      </c>
      <c r="D12" s="6">
        <v>23.202709240445092</v>
      </c>
      <c r="E12" s="6">
        <v>70.942111237230421</v>
      </c>
      <c r="F12" s="6">
        <v>88.664812239221135</v>
      </c>
      <c r="G12" s="6">
        <v>89.103448275862078</v>
      </c>
    </row>
    <row r="13" spans="1:9" x14ac:dyDescent="0.25">
      <c r="A13" s="4">
        <v>2020</v>
      </c>
      <c r="B13" s="6">
        <v>0.82964388835418679</v>
      </c>
      <c r="C13" s="6">
        <v>6.3815789473684212</v>
      </c>
      <c r="D13" s="6">
        <v>23.074340527577938</v>
      </c>
      <c r="E13" s="6">
        <v>70.800889877641822</v>
      </c>
      <c r="F13" s="6">
        <v>88.125416944629748</v>
      </c>
      <c r="G13" s="6">
        <v>88.824577025823686</v>
      </c>
    </row>
    <row r="14" spans="1:9" x14ac:dyDescent="0.25">
      <c r="A14" s="4">
        <v>2021</v>
      </c>
      <c r="B14" s="6">
        <v>4.0163147792706333</v>
      </c>
      <c r="C14" s="6">
        <v>10.467153284671534</v>
      </c>
      <c r="D14" s="6">
        <v>27.699574870099198</v>
      </c>
      <c r="E14" s="6">
        <v>74.184782608695656</v>
      </c>
      <c r="F14" s="6">
        <v>88.794788273615637</v>
      </c>
      <c r="G14" s="6">
        <v>89.995706311721761</v>
      </c>
    </row>
    <row r="17" spans="1:1" x14ac:dyDescent="0.25">
      <c r="A17" s="8" t="s">
        <v>9</v>
      </c>
    </row>
    <row r="18" spans="1:1" x14ac:dyDescent="0.25">
      <c r="A18" s="4" t="s">
        <v>10</v>
      </c>
    </row>
    <row r="19" spans="1:1" x14ac:dyDescent="0.25">
      <c r="A19" s="4" t="s">
        <v>11</v>
      </c>
    </row>
    <row r="20" spans="1:1" x14ac:dyDescent="0.25">
      <c r="A20" s="8" t="s">
        <v>7</v>
      </c>
    </row>
    <row r="21" spans="1:1" x14ac:dyDescent="0.25">
      <c r="A21" s="4" t="s">
        <v>13</v>
      </c>
    </row>
    <row r="22" spans="1:1" x14ac:dyDescent="0.25">
      <c r="A22" s="9" t="s">
        <v>8</v>
      </c>
    </row>
  </sheetData>
  <mergeCells count="1">
    <mergeCell ref="B2:G2"/>
  </mergeCells>
  <hyperlinks>
    <hyperlink ref="A22" r:id="rId1" location="list-tab-List_1912660285 " xr:uid="{C6F07AE0-184D-44B5-A90F-C72CE5307A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4C23F-AEC9-4372-ADC5-F561CC49158F}">
  <dimension ref="A1:M33"/>
  <sheetViews>
    <sheetView workbookViewId="0">
      <selection activeCell="N22" sqref="N22"/>
    </sheetView>
  </sheetViews>
  <sheetFormatPr defaultRowHeight="15" x14ac:dyDescent="0.25"/>
  <cols>
    <col min="1" max="1" width="15.140625" style="4" customWidth="1"/>
    <col min="2" max="13" width="7.7109375" style="2" customWidth="1"/>
    <col min="14" max="16384" width="9.140625" style="2"/>
  </cols>
  <sheetData>
    <row r="1" spans="1:13" s="1" customFormat="1" x14ac:dyDescent="0.25">
      <c r="A1" s="24" t="s">
        <v>23</v>
      </c>
      <c r="B1" s="1">
        <v>2013</v>
      </c>
      <c r="C1" s="1">
        <v>2014</v>
      </c>
      <c r="D1" s="1">
        <v>2015</v>
      </c>
      <c r="E1" s="1">
        <v>2016</v>
      </c>
      <c r="F1" s="1">
        <v>2017</v>
      </c>
      <c r="G1" s="1">
        <v>2018</v>
      </c>
      <c r="H1" s="1">
        <v>2019</v>
      </c>
      <c r="I1" s="1">
        <v>2020</v>
      </c>
      <c r="J1" s="1">
        <v>2021</v>
      </c>
      <c r="K1" s="1">
        <v>2022</v>
      </c>
      <c r="L1" s="1">
        <v>2023</v>
      </c>
      <c r="M1" s="1">
        <v>2024</v>
      </c>
    </row>
    <row r="2" spans="1:13" s="1" customFormat="1" ht="38.25" x14ac:dyDescent="0.25">
      <c r="A2" s="25"/>
      <c r="B2" s="13" t="s">
        <v>24</v>
      </c>
      <c r="C2" s="13" t="s">
        <v>24</v>
      </c>
      <c r="D2" s="13" t="s">
        <v>24</v>
      </c>
      <c r="E2" s="13" t="s">
        <v>24</v>
      </c>
      <c r="F2" s="13" t="s">
        <v>24</v>
      </c>
      <c r="G2" s="13" t="s">
        <v>24</v>
      </c>
      <c r="H2" s="13" t="s">
        <v>24</v>
      </c>
      <c r="I2" s="13" t="s">
        <v>24</v>
      </c>
      <c r="J2" s="13" t="s">
        <v>24</v>
      </c>
      <c r="K2" s="13" t="s">
        <v>24</v>
      </c>
      <c r="L2" s="13" t="s">
        <v>24</v>
      </c>
      <c r="M2" s="13" t="s">
        <v>24</v>
      </c>
    </row>
    <row r="3" spans="1:13" x14ac:dyDescent="0.25">
      <c r="A3" s="8" t="s">
        <v>14</v>
      </c>
    </row>
    <row r="4" spans="1:13" s="6" customFormat="1" x14ac:dyDescent="0.25">
      <c r="A4" s="10" t="s">
        <v>15</v>
      </c>
      <c r="B4" s="6">
        <v>14.2</v>
      </c>
      <c r="C4" s="6">
        <v>15.3</v>
      </c>
      <c r="D4" s="6">
        <v>15.5</v>
      </c>
      <c r="E4" s="6">
        <v>15.5</v>
      </c>
      <c r="F4" s="6">
        <v>13.8</v>
      </c>
      <c r="G4" s="6">
        <v>15</v>
      </c>
      <c r="H4" s="6">
        <v>14.5</v>
      </c>
      <c r="I4" s="6">
        <v>14.4</v>
      </c>
      <c r="J4" s="6">
        <v>14</v>
      </c>
    </row>
    <row r="5" spans="1:13" s="6" customFormat="1" x14ac:dyDescent="0.25">
      <c r="A5" s="10" t="s">
        <v>16</v>
      </c>
      <c r="B5" s="6">
        <v>3.7</v>
      </c>
      <c r="C5" s="6">
        <v>4.3</v>
      </c>
      <c r="D5" s="6">
        <v>5</v>
      </c>
      <c r="E5" s="6">
        <v>5.2</v>
      </c>
      <c r="F5" s="6">
        <v>3.6</v>
      </c>
      <c r="G5" s="6">
        <v>4.3</v>
      </c>
      <c r="H5" s="6">
        <v>4.0999999999999996</v>
      </c>
      <c r="I5" s="6">
        <v>4.2</v>
      </c>
      <c r="J5" s="6">
        <v>3.7</v>
      </c>
    </row>
    <row r="6" spans="1:13" s="6" customFormat="1" x14ac:dyDescent="0.25">
      <c r="A6" s="10" t="s">
        <v>17</v>
      </c>
      <c r="B6" s="6">
        <v>9.1</v>
      </c>
      <c r="C6" s="6">
        <v>10.9</v>
      </c>
      <c r="D6" s="6">
        <v>11.2</v>
      </c>
      <c r="E6" s="6">
        <v>11.6</v>
      </c>
      <c r="F6" s="6">
        <v>10.4</v>
      </c>
      <c r="G6" s="6">
        <v>12</v>
      </c>
      <c r="H6" s="6">
        <v>11.3</v>
      </c>
      <c r="I6" s="6">
        <v>11.8</v>
      </c>
      <c r="J6" s="6">
        <v>11.2</v>
      </c>
    </row>
    <row r="7" spans="1:13" s="6" customFormat="1" x14ac:dyDescent="0.25">
      <c r="A7" s="10" t="s">
        <v>18</v>
      </c>
      <c r="B7" s="6">
        <v>9.5</v>
      </c>
      <c r="C7" s="6">
        <v>13.7</v>
      </c>
      <c r="D7" s="6">
        <v>15.1</v>
      </c>
      <c r="E7" s="6">
        <v>16.100000000000001</v>
      </c>
      <c r="F7" s="6">
        <v>13.3</v>
      </c>
      <c r="G7" s="6">
        <v>15.1</v>
      </c>
      <c r="H7" s="6">
        <v>14.8</v>
      </c>
      <c r="I7" s="6">
        <v>15.8</v>
      </c>
      <c r="J7" s="6">
        <v>15.3</v>
      </c>
    </row>
    <row r="8" spans="1:13" s="6" customFormat="1" x14ac:dyDescent="0.25">
      <c r="A8" s="10" t="s">
        <v>43</v>
      </c>
      <c r="B8" s="6">
        <v>8.3000000000000007</v>
      </c>
      <c r="C8" s="6">
        <v>9.6999999999999993</v>
      </c>
      <c r="D8" s="6">
        <v>9.9</v>
      </c>
      <c r="E8" s="6">
        <v>10.199999999999999</v>
      </c>
      <c r="F8" s="6">
        <v>7.9</v>
      </c>
      <c r="G8" s="6">
        <v>9.5</v>
      </c>
      <c r="H8" s="6">
        <v>9</v>
      </c>
      <c r="I8" s="6">
        <v>9.4</v>
      </c>
      <c r="J8" s="6">
        <v>9.4</v>
      </c>
    </row>
    <row r="9" spans="1:13" s="6" customFormat="1" x14ac:dyDescent="0.25">
      <c r="A9" s="11" t="s">
        <v>19</v>
      </c>
    </row>
    <row r="10" spans="1:13" s="6" customFormat="1" x14ac:dyDescent="0.25">
      <c r="A10" s="10" t="s">
        <v>15</v>
      </c>
      <c r="B10" s="6">
        <v>87.1</v>
      </c>
      <c r="C10" s="6">
        <v>87.9</v>
      </c>
      <c r="D10" s="6">
        <v>88.7</v>
      </c>
      <c r="E10" s="6">
        <v>87.4</v>
      </c>
      <c r="F10" s="6">
        <v>85.5</v>
      </c>
      <c r="G10" s="6">
        <v>87.2</v>
      </c>
      <c r="H10" s="6">
        <v>85.7</v>
      </c>
      <c r="I10" s="6">
        <v>86.2</v>
      </c>
      <c r="J10" s="6">
        <v>84.5</v>
      </c>
    </row>
    <row r="11" spans="1:13" s="6" customFormat="1" x14ac:dyDescent="0.25">
      <c r="A11" s="10" t="s">
        <v>16</v>
      </c>
      <c r="B11" s="6">
        <v>4.9000000000000004</v>
      </c>
      <c r="C11" s="6">
        <v>5.3</v>
      </c>
      <c r="D11" s="6">
        <v>5.0999999999999996</v>
      </c>
      <c r="E11" s="6">
        <v>5.6</v>
      </c>
      <c r="F11" s="6">
        <v>4.2</v>
      </c>
      <c r="G11" s="6">
        <v>4.8</v>
      </c>
      <c r="H11" s="6">
        <v>4.5</v>
      </c>
      <c r="I11" s="6">
        <v>3.9</v>
      </c>
      <c r="J11" s="6">
        <v>3.8</v>
      </c>
    </row>
    <row r="12" spans="1:13" s="6" customFormat="1" x14ac:dyDescent="0.25">
      <c r="A12" s="10" t="s">
        <v>17</v>
      </c>
      <c r="B12" s="6">
        <v>91.7</v>
      </c>
      <c r="C12" s="6">
        <v>94.1</v>
      </c>
      <c r="D12" s="6">
        <v>94.3</v>
      </c>
      <c r="E12" s="6">
        <v>94.2</v>
      </c>
      <c r="F12" s="6">
        <v>92</v>
      </c>
      <c r="G12" s="6">
        <v>94.1</v>
      </c>
      <c r="H12" s="6">
        <v>93.2</v>
      </c>
      <c r="I12" s="6">
        <v>93.8</v>
      </c>
      <c r="J12" s="6">
        <v>93.1</v>
      </c>
    </row>
    <row r="13" spans="1:13" s="6" customFormat="1" x14ac:dyDescent="0.25">
      <c r="A13" s="10" t="s">
        <v>18</v>
      </c>
      <c r="B13" s="6">
        <v>11</v>
      </c>
      <c r="C13" s="6">
        <v>11.8</v>
      </c>
      <c r="D13" s="6">
        <v>13.2</v>
      </c>
      <c r="E13" s="6">
        <v>13</v>
      </c>
      <c r="F13" s="6">
        <v>11.1</v>
      </c>
      <c r="G13" s="6">
        <v>11.7</v>
      </c>
      <c r="H13" s="6">
        <v>11.4</v>
      </c>
      <c r="I13" s="6">
        <v>11.6</v>
      </c>
      <c r="J13" s="6">
        <v>12.1</v>
      </c>
    </row>
    <row r="14" spans="1:13" s="6" customFormat="1" x14ac:dyDescent="0.25">
      <c r="A14" s="10" t="s">
        <v>43</v>
      </c>
      <c r="B14" s="6">
        <v>6.6</v>
      </c>
      <c r="C14" s="6">
        <v>6.8</v>
      </c>
      <c r="D14" s="6">
        <v>7</v>
      </c>
      <c r="E14" s="6">
        <v>7.4</v>
      </c>
      <c r="F14" s="6">
        <v>6.5</v>
      </c>
      <c r="G14" s="6">
        <v>7.2</v>
      </c>
      <c r="H14" s="6">
        <v>6.9</v>
      </c>
      <c r="I14" s="6">
        <v>7.8</v>
      </c>
      <c r="J14" s="6">
        <v>7.9</v>
      </c>
    </row>
    <row r="15" spans="1:13" s="6" customFormat="1" x14ac:dyDescent="0.25">
      <c r="A15" s="12" t="s">
        <v>20</v>
      </c>
    </row>
    <row r="16" spans="1:13" s="6" customFormat="1" x14ac:dyDescent="0.25">
      <c r="A16" s="10" t="s">
        <v>15</v>
      </c>
      <c r="B16" s="6">
        <v>84.1</v>
      </c>
      <c r="C16" s="6">
        <v>85.3</v>
      </c>
      <c r="D16" s="6">
        <v>86</v>
      </c>
      <c r="E16" s="6">
        <v>83.6</v>
      </c>
      <c r="F16" s="6">
        <v>81.7</v>
      </c>
      <c r="G16" s="6">
        <v>84.2</v>
      </c>
      <c r="H16" s="6">
        <v>82</v>
      </c>
      <c r="I16" s="6">
        <v>82.3</v>
      </c>
      <c r="J16" s="6">
        <v>79.900000000000006</v>
      </c>
    </row>
    <row r="17" spans="1:10" s="6" customFormat="1" x14ac:dyDescent="0.25">
      <c r="A17" s="10" t="s">
        <v>16</v>
      </c>
      <c r="B17" s="6">
        <v>4.2</v>
      </c>
      <c r="C17" s="6">
        <v>4.5999999999999996</v>
      </c>
      <c r="D17" s="6">
        <v>4.5</v>
      </c>
      <c r="E17" s="6">
        <v>5.4</v>
      </c>
      <c r="F17" s="6">
        <v>4.0999999999999996</v>
      </c>
      <c r="G17" s="6">
        <v>4.5999999999999996</v>
      </c>
      <c r="H17" s="6">
        <v>4.4000000000000004</v>
      </c>
      <c r="I17" s="6">
        <v>3.6</v>
      </c>
      <c r="J17" s="6">
        <v>3.5</v>
      </c>
    </row>
    <row r="18" spans="1:10" s="6" customFormat="1" x14ac:dyDescent="0.25">
      <c r="A18" s="10" t="s">
        <v>17</v>
      </c>
      <c r="B18" s="6">
        <v>88.8</v>
      </c>
      <c r="C18" s="6">
        <v>91.8</v>
      </c>
      <c r="D18" s="6">
        <v>92.2</v>
      </c>
      <c r="E18" s="6">
        <v>92.1</v>
      </c>
      <c r="F18" s="6">
        <v>89.6</v>
      </c>
      <c r="G18" s="6">
        <v>92.1</v>
      </c>
      <c r="H18" s="6">
        <v>91.1</v>
      </c>
      <c r="I18" s="6">
        <v>91.6</v>
      </c>
      <c r="J18" s="6">
        <v>90.5</v>
      </c>
    </row>
    <row r="19" spans="1:10" s="6" customFormat="1" x14ac:dyDescent="0.25">
      <c r="A19" s="10" t="s">
        <v>18</v>
      </c>
      <c r="B19" s="6">
        <v>10.199999999999999</v>
      </c>
      <c r="C19" s="6">
        <v>11.1</v>
      </c>
      <c r="D19" s="6">
        <v>12.8</v>
      </c>
      <c r="E19" s="6">
        <v>12.4</v>
      </c>
      <c r="F19" s="6">
        <v>10.6</v>
      </c>
      <c r="G19" s="6">
        <v>11.2</v>
      </c>
      <c r="H19" s="6">
        <v>11.1</v>
      </c>
      <c r="I19" s="6">
        <v>11.6</v>
      </c>
      <c r="J19" s="6">
        <v>12.8</v>
      </c>
    </row>
    <row r="20" spans="1:10" s="6" customFormat="1" x14ac:dyDescent="0.25">
      <c r="A20" s="10" t="s">
        <v>43</v>
      </c>
      <c r="B20" s="6">
        <v>6.4</v>
      </c>
      <c r="C20" s="6">
        <v>6.6</v>
      </c>
      <c r="D20" s="6">
        <v>6.7</v>
      </c>
      <c r="E20" s="6">
        <v>7</v>
      </c>
      <c r="F20" s="6">
        <v>6.5</v>
      </c>
      <c r="G20" s="6">
        <v>7.4</v>
      </c>
      <c r="H20" s="6">
        <v>6.9</v>
      </c>
      <c r="I20" s="6">
        <v>7.5</v>
      </c>
      <c r="J20" s="6">
        <v>7.8</v>
      </c>
    </row>
    <row r="21" spans="1:10" s="6" customFormat="1" x14ac:dyDescent="0.25">
      <c r="A21" s="12" t="s">
        <v>5</v>
      </c>
    </row>
    <row r="22" spans="1:10" s="6" customFormat="1" x14ac:dyDescent="0.25">
      <c r="A22" s="10" t="s">
        <v>15</v>
      </c>
      <c r="B22" s="6">
        <v>91.2</v>
      </c>
      <c r="C22" s="6">
        <v>91.6</v>
      </c>
      <c r="D22" s="6">
        <v>92.4</v>
      </c>
      <c r="E22" s="6">
        <v>92.9</v>
      </c>
      <c r="F22" s="6">
        <v>91.1</v>
      </c>
      <c r="G22" s="6">
        <v>91.6</v>
      </c>
      <c r="H22" s="6">
        <v>91.2</v>
      </c>
      <c r="I22" s="6">
        <v>91.9</v>
      </c>
      <c r="J22" s="6">
        <v>91.2</v>
      </c>
    </row>
    <row r="23" spans="1:10" s="6" customFormat="1" x14ac:dyDescent="0.25">
      <c r="A23" s="10" t="s">
        <v>16</v>
      </c>
      <c r="B23" s="6">
        <v>5.7</v>
      </c>
      <c r="C23" s="6">
        <v>6.4</v>
      </c>
      <c r="D23" s="6">
        <v>6</v>
      </c>
      <c r="E23" s="6">
        <v>5.8</v>
      </c>
      <c r="F23" s="6">
        <v>4.3</v>
      </c>
      <c r="G23" s="6">
        <v>5.2</v>
      </c>
      <c r="H23" s="6">
        <v>4.5999999999999996</v>
      </c>
      <c r="I23" s="6">
        <v>4.2</v>
      </c>
      <c r="J23" s="6">
        <v>4.3</v>
      </c>
    </row>
    <row r="24" spans="1:10" s="6" customFormat="1" x14ac:dyDescent="0.25">
      <c r="A24" s="10" t="s">
        <v>17</v>
      </c>
      <c r="B24" s="6">
        <v>95.7</v>
      </c>
      <c r="C24" s="6">
        <v>97.5</v>
      </c>
      <c r="D24" s="6">
        <v>97.2</v>
      </c>
      <c r="E24" s="6">
        <v>97.3</v>
      </c>
      <c r="F24" s="6">
        <v>95.6</v>
      </c>
      <c r="G24" s="6">
        <v>97.1</v>
      </c>
      <c r="H24" s="6">
        <v>96.4</v>
      </c>
      <c r="I24" s="6">
        <v>96.9</v>
      </c>
      <c r="J24" s="6">
        <v>97</v>
      </c>
    </row>
    <row r="25" spans="1:10" s="6" customFormat="1" x14ac:dyDescent="0.25">
      <c r="A25" s="10" t="s">
        <v>18</v>
      </c>
      <c r="B25" s="6">
        <v>12.2</v>
      </c>
      <c r="C25" s="6">
        <v>12.8</v>
      </c>
      <c r="D25" s="6">
        <v>13.8</v>
      </c>
      <c r="E25" s="6">
        <v>14</v>
      </c>
      <c r="F25" s="6">
        <v>11.8</v>
      </c>
      <c r="G25" s="6">
        <v>12.5</v>
      </c>
      <c r="H25" s="6">
        <v>11.8</v>
      </c>
      <c r="I25" s="6">
        <v>11.5</v>
      </c>
      <c r="J25" s="6">
        <v>11</v>
      </c>
    </row>
    <row r="26" spans="1:10" s="6" customFormat="1" x14ac:dyDescent="0.25">
      <c r="A26" s="10" t="s">
        <v>43</v>
      </c>
      <c r="B26" s="6">
        <v>7</v>
      </c>
      <c r="C26" s="6">
        <v>7.1</v>
      </c>
      <c r="D26" s="6">
        <v>7.3</v>
      </c>
      <c r="E26" s="6">
        <v>7.9</v>
      </c>
      <c r="F26" s="6">
        <v>6.5</v>
      </c>
      <c r="G26" s="6">
        <v>7</v>
      </c>
      <c r="H26" s="6">
        <v>7</v>
      </c>
      <c r="I26" s="6">
        <v>8.1</v>
      </c>
      <c r="J26" s="6">
        <v>8.1</v>
      </c>
    </row>
    <row r="28" spans="1:10" x14ac:dyDescent="0.25">
      <c r="A28" s="8" t="s">
        <v>9</v>
      </c>
    </row>
    <row r="29" spans="1:10" x14ac:dyDescent="0.25">
      <c r="A29" s="4" t="s">
        <v>44</v>
      </c>
    </row>
    <row r="31" spans="1:10" x14ac:dyDescent="0.25">
      <c r="A31" s="8" t="s">
        <v>7</v>
      </c>
    </row>
    <row r="32" spans="1:10" x14ac:dyDescent="0.25">
      <c r="A32" s="4" t="s">
        <v>21</v>
      </c>
    </row>
    <row r="33" spans="1:1" x14ac:dyDescent="0.25">
      <c r="A33" s="9" t="s">
        <v>22</v>
      </c>
    </row>
  </sheetData>
  <mergeCells count="1">
    <mergeCell ref="A1:A2"/>
  </mergeCells>
  <hyperlinks>
    <hyperlink ref="A33" r:id="rId1" xr:uid="{A290FE28-A3C7-4002-813F-4EE2EC6C35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25D6-8A3D-4F55-AD3E-014CFDC57593}">
  <dimension ref="A1:S28"/>
  <sheetViews>
    <sheetView workbookViewId="0">
      <pane xSplit="1" ySplit="2" topLeftCell="B3" activePane="bottomRight" state="frozen"/>
      <selection pane="topRight" activeCell="B1" sqref="B1"/>
      <selection pane="bottomLeft" activeCell="A3" sqref="A3"/>
      <selection pane="bottomRight" activeCell="P13" sqref="P13"/>
    </sheetView>
  </sheetViews>
  <sheetFormatPr defaultRowHeight="15" x14ac:dyDescent="0.25"/>
  <cols>
    <col min="1" max="1" width="8.5703125" style="4" customWidth="1"/>
    <col min="2" max="2" width="7.140625" style="6" customWidth="1"/>
    <col min="3" max="3" width="4.7109375" style="6" customWidth="1"/>
    <col min="4" max="4" width="10.42578125" style="6" customWidth="1"/>
    <col min="5" max="5" width="7.140625" style="6" customWidth="1"/>
    <col min="6" max="6" width="4.5703125" style="6" customWidth="1"/>
    <col min="7" max="7" width="10" style="6" customWidth="1"/>
    <col min="8" max="8" width="7.42578125" style="2" customWidth="1"/>
    <col min="9" max="9" width="3.7109375" style="2" customWidth="1"/>
    <col min="10" max="10" width="10.140625" style="2" customWidth="1"/>
    <col min="11" max="11" width="7.140625" style="6" customWidth="1"/>
    <col min="12" max="12" width="4.7109375" style="6" customWidth="1"/>
    <col min="13" max="13" width="10.42578125" style="6" customWidth="1"/>
    <col min="14" max="14" width="7.140625" style="6" customWidth="1"/>
    <col min="15" max="15" width="4.7109375" style="6" customWidth="1"/>
    <col min="16" max="16" width="10.42578125" style="6" customWidth="1"/>
    <col min="17" max="17" width="7.140625" style="6" customWidth="1"/>
    <col min="18" max="18" width="4.7109375" style="6" customWidth="1"/>
    <col min="19" max="19" width="10.42578125" style="6" customWidth="1"/>
    <col min="20" max="16384" width="9.140625" style="2"/>
  </cols>
  <sheetData>
    <row r="1" spans="1:19" s="13" customFormat="1" ht="89.25" x14ac:dyDescent="0.25">
      <c r="A1" s="19" t="s">
        <v>28</v>
      </c>
      <c r="B1" s="18" t="s">
        <v>25</v>
      </c>
      <c r="C1" s="18" t="s">
        <v>16</v>
      </c>
      <c r="D1" s="18" t="s">
        <v>27</v>
      </c>
      <c r="E1" s="18" t="s">
        <v>25</v>
      </c>
      <c r="F1" s="18" t="s">
        <v>16</v>
      </c>
      <c r="G1" s="18" t="s">
        <v>27</v>
      </c>
      <c r="H1" s="18" t="s">
        <v>25</v>
      </c>
      <c r="I1" s="18" t="s">
        <v>16</v>
      </c>
      <c r="J1" s="18" t="s">
        <v>27</v>
      </c>
      <c r="K1" s="18" t="s">
        <v>25</v>
      </c>
      <c r="L1" s="18" t="s">
        <v>16</v>
      </c>
      <c r="M1" s="18" t="s">
        <v>27</v>
      </c>
      <c r="N1" s="18" t="s">
        <v>25</v>
      </c>
      <c r="O1" s="18" t="s">
        <v>16</v>
      </c>
      <c r="P1" s="18" t="s">
        <v>27</v>
      </c>
      <c r="Q1" s="18"/>
      <c r="R1" s="18"/>
      <c r="S1" s="18"/>
    </row>
    <row r="2" spans="1:19" s="17" customFormat="1" x14ac:dyDescent="0.25">
      <c r="A2" s="15"/>
      <c r="B2" s="26" t="s">
        <v>26</v>
      </c>
      <c r="C2" s="27"/>
      <c r="D2" s="27"/>
      <c r="E2" s="28" t="s">
        <v>29</v>
      </c>
      <c r="F2" s="29"/>
      <c r="G2" s="29"/>
      <c r="H2" s="30" t="s">
        <v>30</v>
      </c>
      <c r="I2" s="31"/>
      <c r="J2" s="31"/>
      <c r="K2" s="32" t="s">
        <v>31</v>
      </c>
      <c r="L2" s="33"/>
      <c r="M2" s="33"/>
      <c r="N2" s="34" t="s">
        <v>5</v>
      </c>
      <c r="O2" s="35"/>
      <c r="P2" s="35"/>
    </row>
    <row r="3" spans="1:19" s="17" customFormat="1" ht="14.25" x14ac:dyDescent="0.25">
      <c r="A3" s="15"/>
      <c r="B3" s="16"/>
      <c r="C3" s="16"/>
      <c r="D3" s="16"/>
      <c r="E3" s="16"/>
      <c r="F3" s="16"/>
      <c r="G3" s="16"/>
      <c r="K3" s="16"/>
      <c r="L3" s="16"/>
      <c r="M3" s="16"/>
      <c r="N3" s="16"/>
      <c r="O3" s="16"/>
      <c r="P3" s="16"/>
      <c r="Q3" s="16"/>
      <c r="R3" s="16"/>
      <c r="S3" s="16"/>
    </row>
    <row r="4" spans="1:19" x14ac:dyDescent="0.25">
      <c r="A4" s="14"/>
    </row>
    <row r="5" spans="1:19" x14ac:dyDescent="0.25">
      <c r="A5" s="4">
        <v>2001</v>
      </c>
      <c r="B5" s="6">
        <f>100-93.6</f>
        <v>6.4000000000000057</v>
      </c>
      <c r="C5" s="6">
        <f>100-97</f>
        <v>3</v>
      </c>
      <c r="D5" s="6">
        <f>100-85.9</f>
        <v>14.099999999999994</v>
      </c>
      <c r="E5" s="6">
        <f>100-65.3</f>
        <v>34.700000000000003</v>
      </c>
      <c r="F5" s="6">
        <f>100-96.4</f>
        <v>3.5999999999999943</v>
      </c>
      <c r="G5" s="6">
        <f>100-73.9</f>
        <v>26.099999999999994</v>
      </c>
      <c r="H5" s="6">
        <f>100-13.4</f>
        <v>86.6</v>
      </c>
      <c r="I5" s="6">
        <f>100-96.5</f>
        <v>3.5</v>
      </c>
      <c r="J5" s="6">
        <f>100-64.1</f>
        <v>35.900000000000006</v>
      </c>
      <c r="K5" s="6">
        <f>100-9.8</f>
        <v>90.2</v>
      </c>
      <c r="L5" s="6">
        <f>100-96.3</f>
        <v>3.7000000000000028</v>
      </c>
      <c r="M5" s="6">
        <f>100-60.5</f>
        <v>39.5</v>
      </c>
      <c r="N5" s="6">
        <f>((12564510-1149143+2690327-247250)/(12564510+2690327))*100</f>
        <v>90.846227986572387</v>
      </c>
      <c r="O5" s="6">
        <f>((12564510-11997598+2690327-2509690)/(12564510+2690327))*100</f>
        <v>4.900406343247063</v>
      </c>
      <c r="P5" s="6">
        <f>((12564510-7711916+2690327-1800221)/(12564510+2690327))*100</f>
        <v>37.645108892346734</v>
      </c>
    </row>
    <row r="6" spans="1:19" x14ac:dyDescent="0.25">
      <c r="A6" s="4">
        <v>2002</v>
      </c>
      <c r="B6" s="6">
        <f>100-93.5</f>
        <v>6.5</v>
      </c>
      <c r="C6" s="6">
        <f>100-97</f>
        <v>3</v>
      </c>
      <c r="D6" s="6">
        <f>100-86.1</f>
        <v>13.900000000000006</v>
      </c>
      <c r="E6" s="6">
        <f>100-66.4</f>
        <v>33.599999999999994</v>
      </c>
      <c r="F6" s="6">
        <f>100-96.5</f>
        <v>3.5</v>
      </c>
      <c r="G6" s="6">
        <f>100-74.1</f>
        <v>25.900000000000006</v>
      </c>
      <c r="H6" s="6">
        <f>100-13.1</f>
        <v>86.9</v>
      </c>
      <c r="I6" s="6">
        <f>100-96.4</f>
        <v>3.5999999999999943</v>
      </c>
      <c r="J6" s="6">
        <f>100-63.9</f>
        <v>36.1</v>
      </c>
      <c r="K6" s="6">
        <f>100-9.6</f>
        <v>90.4</v>
      </c>
      <c r="L6" s="6">
        <f>100-96.2</f>
        <v>3.7999999999999972</v>
      </c>
      <c r="M6" s="6">
        <f>100-60.2</f>
        <v>39.799999999999997</v>
      </c>
    </row>
    <row r="7" spans="1:19" x14ac:dyDescent="0.25">
      <c r="A7" s="4">
        <v>2003</v>
      </c>
      <c r="B7" s="6">
        <f>100-93.5</f>
        <v>6.5</v>
      </c>
      <c r="C7" s="6">
        <f>100-96.9</f>
        <v>3.0999999999999943</v>
      </c>
      <c r="D7" s="6">
        <f>100-85.9</f>
        <v>14.099999999999994</v>
      </c>
      <c r="E7" s="6">
        <f>100-67.2</f>
        <v>32.799999999999997</v>
      </c>
      <c r="F7" s="6">
        <f>100-96.3</f>
        <v>3.7000000000000028</v>
      </c>
      <c r="G7" s="6">
        <f>100-74.4</f>
        <v>25.599999999999994</v>
      </c>
      <c r="H7" s="6">
        <f>100-12.6</f>
        <v>87.4</v>
      </c>
      <c r="I7" s="6">
        <f>100-96.3</f>
        <v>3.7000000000000028</v>
      </c>
      <c r="J7" s="6">
        <f>100-63.6</f>
        <v>36.4</v>
      </c>
      <c r="K7" s="6">
        <f>100-8.9</f>
        <v>91.1</v>
      </c>
      <c r="L7" s="6">
        <f>100-96.4</f>
        <v>3.5999999999999943</v>
      </c>
      <c r="M7" s="6">
        <f>100-59.8</f>
        <v>40.200000000000003</v>
      </c>
    </row>
    <row r="8" spans="1:19" x14ac:dyDescent="0.25">
      <c r="A8" s="4">
        <v>2004</v>
      </c>
      <c r="B8" s="6">
        <f>100-93.6</f>
        <v>6.4000000000000057</v>
      </c>
      <c r="C8" s="6">
        <f>100-97.1</f>
        <v>2.9000000000000057</v>
      </c>
      <c r="D8" s="6">
        <f>100-85.9</f>
        <v>14.099999999999994</v>
      </c>
      <c r="E8" s="6">
        <f>100-67.9</f>
        <v>32.099999999999994</v>
      </c>
      <c r="F8" s="6">
        <f>100-96.3</f>
        <v>3.7000000000000028</v>
      </c>
      <c r="G8" s="6">
        <f>100-73.9</f>
        <v>26.099999999999994</v>
      </c>
      <c r="H8" s="6">
        <f>100-13.4</f>
        <v>86.6</v>
      </c>
      <c r="I8" s="6">
        <f>100-96.6</f>
        <v>3.4000000000000057</v>
      </c>
      <c r="J8" s="6">
        <f>100-63.7</f>
        <v>36.299999999999997</v>
      </c>
      <c r="K8" s="6">
        <f>100-8.7</f>
        <v>91.3</v>
      </c>
      <c r="L8" s="6">
        <f>100-96.4</f>
        <v>3.5999999999999943</v>
      </c>
      <c r="M8" s="6">
        <f>100-59.8</f>
        <v>40.200000000000003</v>
      </c>
    </row>
    <row r="9" spans="1:19" x14ac:dyDescent="0.25">
      <c r="A9" s="4">
        <v>2005</v>
      </c>
      <c r="B9" s="6">
        <f>100-93.5</f>
        <v>6.5</v>
      </c>
      <c r="C9" s="6">
        <f>100-96.8</f>
        <v>3.2000000000000028</v>
      </c>
      <c r="D9" s="6">
        <f>100-85.8</f>
        <v>14.200000000000003</v>
      </c>
      <c r="E9" s="6">
        <f>100-67.6</f>
        <v>32.400000000000006</v>
      </c>
      <c r="F9" s="6">
        <f>100-96.4</f>
        <v>3.5999999999999943</v>
      </c>
      <c r="G9" s="6">
        <f>100-74.1</f>
        <v>25.900000000000006</v>
      </c>
      <c r="H9" s="6">
        <f>100-14.1</f>
        <v>85.9</v>
      </c>
      <c r="I9" s="6">
        <f>100-96.4</f>
        <v>3.5999999999999943</v>
      </c>
      <c r="J9" s="6">
        <f>100-63.7</f>
        <v>36.299999999999997</v>
      </c>
      <c r="K9" s="6">
        <f>100-9.4</f>
        <v>90.6</v>
      </c>
      <c r="L9" s="6">
        <f>100-96.1</f>
        <v>3.9000000000000057</v>
      </c>
      <c r="M9" s="6">
        <f>100-60.2</f>
        <v>39.799999999999997</v>
      </c>
    </row>
    <row r="10" spans="1:19" x14ac:dyDescent="0.25">
      <c r="A10" s="4">
        <v>2006</v>
      </c>
      <c r="B10" s="6">
        <f>100-93</f>
        <v>7</v>
      </c>
      <c r="C10" s="6">
        <f>100-96.6</f>
        <v>3.4000000000000057</v>
      </c>
      <c r="D10" s="6">
        <f>100-86.3</f>
        <v>13.700000000000003</v>
      </c>
      <c r="E10" s="6">
        <f>100-67.7</f>
        <v>32.299999999999997</v>
      </c>
      <c r="F10" s="6">
        <f>100-96</f>
        <v>4</v>
      </c>
      <c r="G10" s="6">
        <f>100-74.4</f>
        <v>25.599999999999994</v>
      </c>
      <c r="H10" s="6">
        <f>100-15.7</f>
        <v>84.3</v>
      </c>
      <c r="I10" s="6">
        <f>100-96.2</f>
        <v>3.7999999999999972</v>
      </c>
      <c r="J10" s="6">
        <f>100-64.3</f>
        <v>35.700000000000003</v>
      </c>
      <c r="K10" s="6">
        <f>100-9.8</f>
        <v>90.2</v>
      </c>
      <c r="L10" s="6">
        <f>100-95.8</f>
        <v>4.2000000000000028</v>
      </c>
      <c r="M10" s="6">
        <f>100-61.2</f>
        <v>38.799999999999997</v>
      </c>
    </row>
    <row r="11" spans="1:19" x14ac:dyDescent="0.25">
      <c r="A11" s="4">
        <v>2007</v>
      </c>
      <c r="B11" s="6">
        <f>100-92.9</f>
        <v>7.0999999999999943</v>
      </c>
      <c r="C11" s="6">
        <f>100-96.3</f>
        <v>3.7000000000000028</v>
      </c>
      <c r="D11" s="6">
        <f>100-86.8</f>
        <v>13.200000000000003</v>
      </c>
      <c r="E11" s="6">
        <f>100-69.6</f>
        <v>30.400000000000006</v>
      </c>
      <c r="F11" s="6">
        <f>100-95.9</f>
        <v>4.0999999999999943</v>
      </c>
      <c r="G11" s="6">
        <f>100-75</f>
        <v>25</v>
      </c>
      <c r="H11" s="6">
        <f>100-16.8</f>
        <v>83.2</v>
      </c>
      <c r="I11" s="6">
        <f>100-96.2</f>
        <v>3.7999999999999972</v>
      </c>
      <c r="J11" s="6">
        <f>100-64.9</f>
        <v>35.099999999999994</v>
      </c>
      <c r="K11" s="6">
        <f>100-9.9</f>
        <v>90.1</v>
      </c>
      <c r="L11" s="6">
        <f>100-96.1</f>
        <v>3.9000000000000057</v>
      </c>
      <c r="M11" s="6">
        <f>100-60.5</f>
        <v>39.5</v>
      </c>
    </row>
    <row r="12" spans="1:19" x14ac:dyDescent="0.25">
      <c r="A12" s="4">
        <v>2008</v>
      </c>
      <c r="B12" s="6">
        <f>100-93.2</f>
        <v>6.7999999999999972</v>
      </c>
      <c r="C12" s="6">
        <f>100-97</f>
        <v>3</v>
      </c>
      <c r="D12" s="6">
        <f>100-87.8</f>
        <v>12.200000000000003</v>
      </c>
      <c r="E12" s="6">
        <f>100-72.1</f>
        <v>27.900000000000006</v>
      </c>
      <c r="F12" s="6">
        <f>100-96.8</f>
        <v>3.2000000000000028</v>
      </c>
      <c r="G12" s="6">
        <f>100-76.1</f>
        <v>23.900000000000006</v>
      </c>
      <c r="H12" s="6">
        <f>100-18</f>
        <v>82</v>
      </c>
      <c r="I12" s="6">
        <f>100-96.9</f>
        <v>3.0999999999999943</v>
      </c>
      <c r="J12" s="6">
        <f>100-65.3</f>
        <v>34.700000000000003</v>
      </c>
      <c r="K12" s="6">
        <f>100-10.5</f>
        <v>89.5</v>
      </c>
      <c r="L12" s="6">
        <f>100-96.4</f>
        <v>3.5999999999999943</v>
      </c>
      <c r="M12" s="6">
        <f>100-61.5</f>
        <v>38.5</v>
      </c>
    </row>
    <row r="13" spans="1:19" x14ac:dyDescent="0.25">
      <c r="A13" s="4">
        <v>2009</v>
      </c>
      <c r="B13" s="6">
        <f>100-92.8</f>
        <v>7.2000000000000028</v>
      </c>
      <c r="C13" s="6">
        <f>100-96.8</f>
        <v>3.2000000000000028</v>
      </c>
      <c r="D13" s="6">
        <f>100-88.3</f>
        <v>11.700000000000003</v>
      </c>
      <c r="E13" s="6">
        <f>100-71.2</f>
        <v>28.799999999999997</v>
      </c>
      <c r="F13" s="6">
        <f>100-96.6</f>
        <v>3.4000000000000057</v>
      </c>
      <c r="G13" s="6">
        <f>100-76.2</f>
        <v>23.799999999999997</v>
      </c>
      <c r="H13" s="6">
        <f>100-17.9</f>
        <v>82.1</v>
      </c>
      <c r="I13" s="6">
        <f>100-96.9</f>
        <v>3.0999999999999943</v>
      </c>
      <c r="J13" s="6">
        <f>100-65.2</f>
        <v>34.799999999999997</v>
      </c>
      <c r="K13" s="6">
        <f>100-9.8</f>
        <v>90.2</v>
      </c>
      <c r="L13" s="6">
        <f>100-96.6</f>
        <v>3.4000000000000057</v>
      </c>
      <c r="M13" s="6">
        <f>100-61.7</f>
        <v>38.299999999999997</v>
      </c>
    </row>
    <row r="14" spans="1:19" x14ac:dyDescent="0.25">
      <c r="A14" s="4">
        <v>2010</v>
      </c>
      <c r="B14" s="6">
        <f>100-92.7</f>
        <v>7.2999999999999972</v>
      </c>
      <c r="C14" s="6">
        <f>100-95.8</f>
        <v>4.2000000000000028</v>
      </c>
      <c r="D14" s="6">
        <f>100-89</f>
        <v>11</v>
      </c>
      <c r="E14" s="6">
        <f>100-70.6</f>
        <v>29.400000000000006</v>
      </c>
      <c r="F14" s="6">
        <f>100-95.9</f>
        <v>4.0999999999999943</v>
      </c>
      <c r="G14" s="6">
        <f>100-76.6</f>
        <v>23.400000000000006</v>
      </c>
      <c r="H14" s="6">
        <f>100-18.5</f>
        <v>81.5</v>
      </c>
      <c r="I14" s="6">
        <f>100-95.9</f>
        <v>4.0999999999999943</v>
      </c>
      <c r="J14" s="6">
        <f>100-65.9</f>
        <v>34.099999999999994</v>
      </c>
      <c r="K14" s="6">
        <f>100-10.3</f>
        <v>89.7</v>
      </c>
      <c r="L14" s="6">
        <f>100-95.6</f>
        <v>4.4000000000000057</v>
      </c>
      <c r="M14" s="6">
        <f>100-62.2</f>
        <v>37.799999999999997</v>
      </c>
    </row>
    <row r="15" spans="1:19" x14ac:dyDescent="0.25">
      <c r="A15" s="4">
        <v>2011</v>
      </c>
      <c r="B15" s="6">
        <f>100-92.7</f>
        <v>7.2999999999999972</v>
      </c>
      <c r="C15" s="6">
        <f>100-95.4</f>
        <v>4.5999999999999943</v>
      </c>
      <c r="D15" s="6">
        <f>100-89.5</f>
        <v>10.5</v>
      </c>
      <c r="E15" s="6">
        <f>100-70</f>
        <v>30</v>
      </c>
      <c r="F15" s="6">
        <f>100-95.8</f>
        <v>4.2000000000000028</v>
      </c>
      <c r="G15" s="6">
        <f>100-76.7</f>
        <v>23.299999999999997</v>
      </c>
      <c r="H15" s="6">
        <f>100-19.4</f>
        <v>80.599999999999994</v>
      </c>
      <c r="I15" s="6">
        <f>100-96</f>
        <v>4</v>
      </c>
      <c r="J15" s="6">
        <f>100-66</f>
        <v>34</v>
      </c>
      <c r="K15" s="6">
        <f>100-10.1</f>
        <v>89.9</v>
      </c>
      <c r="L15" s="6">
        <f>100-95.6</f>
        <v>4.4000000000000057</v>
      </c>
      <c r="M15" s="6">
        <f>100-62.4</f>
        <v>37.6</v>
      </c>
    </row>
    <row r="16" spans="1:19" x14ac:dyDescent="0.25">
      <c r="A16" s="4">
        <v>2012</v>
      </c>
      <c r="B16" s="6">
        <f>100-92.4</f>
        <v>7.5999999999999943</v>
      </c>
      <c r="C16" s="6">
        <f>100-95.4</f>
        <v>4.5999999999999943</v>
      </c>
      <c r="D16" s="6">
        <f>100-89.8</f>
        <v>10.200000000000003</v>
      </c>
      <c r="E16" s="6">
        <f>100-71.3</f>
        <v>28.700000000000003</v>
      </c>
      <c r="F16" s="6">
        <f>100-95.5</f>
        <v>4.5</v>
      </c>
      <c r="G16" s="6">
        <f>100-77.5</f>
        <v>22.5</v>
      </c>
      <c r="H16" s="6">
        <f>100-21.1</f>
        <v>78.900000000000006</v>
      </c>
      <c r="I16" s="6">
        <f>100-96.2</f>
        <v>3.7999999999999972</v>
      </c>
      <c r="J16" s="6">
        <f>100-65.6</f>
        <v>34.400000000000006</v>
      </c>
      <c r="K16" s="6">
        <f>100-10.5</f>
        <v>89.5</v>
      </c>
      <c r="L16" s="6">
        <f>100-95.7</f>
        <v>4.2999999999999972</v>
      </c>
      <c r="M16" s="6">
        <f>100-62</f>
        <v>38</v>
      </c>
    </row>
    <row r="17" spans="1:13" x14ac:dyDescent="0.25">
      <c r="A17" s="4">
        <v>2013</v>
      </c>
      <c r="B17" s="6">
        <f>100-92.5</f>
        <v>7.5</v>
      </c>
      <c r="C17" s="6">
        <f>100-95.3</f>
        <v>4.7000000000000028</v>
      </c>
      <c r="D17" s="6">
        <f>100-90.2</f>
        <v>9.7999999999999972</v>
      </c>
      <c r="E17" s="6">
        <f>100-71.8</f>
        <v>28.200000000000003</v>
      </c>
      <c r="F17" s="6">
        <f>100-95.6</f>
        <v>4.4000000000000057</v>
      </c>
      <c r="G17" s="6">
        <f>100-78.5</f>
        <v>21.5</v>
      </c>
      <c r="H17" s="6">
        <f>100-22</f>
        <v>78</v>
      </c>
      <c r="I17" s="6">
        <f>100-96.3</f>
        <v>3.7000000000000028</v>
      </c>
      <c r="J17" s="6">
        <f>100-66.5</f>
        <v>33.5</v>
      </c>
      <c r="K17" s="6">
        <f>100-11</f>
        <v>89</v>
      </c>
      <c r="L17" s="6">
        <f>100-95.9</f>
        <v>4.0999999999999943</v>
      </c>
      <c r="M17" s="6">
        <f>100-62.8</f>
        <v>37.200000000000003</v>
      </c>
    </row>
    <row r="18" spans="1:13" x14ac:dyDescent="0.25">
      <c r="A18" s="4">
        <v>2014</v>
      </c>
      <c r="B18" s="6">
        <f>100-92.4</f>
        <v>7.5999999999999943</v>
      </c>
      <c r="C18" s="6">
        <f>100-95</f>
        <v>5</v>
      </c>
      <c r="D18" s="6">
        <f>100-90.5</f>
        <v>9.5</v>
      </c>
      <c r="E18" s="6">
        <f>100-72.8</f>
        <v>27.200000000000003</v>
      </c>
      <c r="F18" s="6">
        <f>100-95.4</f>
        <v>4.5999999999999943</v>
      </c>
      <c r="G18" s="6">
        <f>100-79.3</f>
        <v>20.700000000000003</v>
      </c>
      <c r="H18" s="6">
        <f>100-22.6</f>
        <v>77.400000000000006</v>
      </c>
      <c r="I18" s="6">
        <f>100-96.2</f>
        <v>3.7999999999999972</v>
      </c>
      <c r="J18" s="6">
        <f>100-66.2</f>
        <v>33.799999999999997</v>
      </c>
      <c r="K18" s="6">
        <f>100-11</f>
        <v>89</v>
      </c>
      <c r="L18" s="6">
        <f>100-95.9</f>
        <v>4.0999999999999943</v>
      </c>
      <c r="M18" s="6">
        <f>100-62.4</f>
        <v>37.6</v>
      </c>
    </row>
    <row r="19" spans="1:13" x14ac:dyDescent="0.25">
      <c r="A19" s="4">
        <v>2015</v>
      </c>
      <c r="B19" s="6">
        <f>100-92.3</f>
        <v>7.7000000000000028</v>
      </c>
      <c r="C19" s="6">
        <f>100-95</f>
        <v>5</v>
      </c>
      <c r="D19" s="6">
        <f>100-90.8</f>
        <v>9.2000000000000028</v>
      </c>
      <c r="E19" s="6">
        <f>100-73.2</f>
        <v>26.799999999999997</v>
      </c>
      <c r="F19" s="6">
        <f>100-95.4</f>
        <v>4.5999999999999943</v>
      </c>
      <c r="G19" s="6">
        <f>100-79.6</f>
        <v>20.400000000000006</v>
      </c>
      <c r="H19" s="6">
        <f>100-23.2</f>
        <v>76.8</v>
      </c>
      <c r="I19" s="6">
        <f>100-96</f>
        <v>4</v>
      </c>
      <c r="J19" s="6">
        <f>100-65.9</f>
        <v>34.099999999999994</v>
      </c>
      <c r="K19" s="6">
        <f>100-10.5</f>
        <v>89.5</v>
      </c>
      <c r="L19" s="6">
        <f>100-95.9</f>
        <v>4.0999999999999943</v>
      </c>
      <c r="M19" s="6">
        <f>100-61.3</f>
        <v>38.700000000000003</v>
      </c>
    </row>
    <row r="20" spans="1:13" x14ac:dyDescent="0.25">
      <c r="A20" s="4">
        <v>2016</v>
      </c>
      <c r="B20" s="6">
        <f>100-92.5</f>
        <v>7.5</v>
      </c>
      <c r="C20" s="6">
        <f>100-95</f>
        <v>5</v>
      </c>
      <c r="D20" s="6">
        <f>100-91.1</f>
        <v>8.9000000000000057</v>
      </c>
      <c r="E20" s="6">
        <f>100-74.3</f>
        <v>25.700000000000003</v>
      </c>
      <c r="F20" s="6">
        <f>100-95.2</f>
        <v>4.7999999999999972</v>
      </c>
      <c r="G20" s="6">
        <f>100-80.4</f>
        <v>19.599999999999994</v>
      </c>
      <c r="H20" s="6">
        <f>100-24</f>
        <v>76</v>
      </c>
      <c r="I20" s="6">
        <f>100-96.1</f>
        <v>3.9000000000000057</v>
      </c>
      <c r="J20" s="6">
        <f>100-66.3</f>
        <v>33.700000000000003</v>
      </c>
      <c r="K20" s="6">
        <f>100-10.5</f>
        <v>89.5</v>
      </c>
      <c r="L20" s="6">
        <f>100-95.9</f>
        <v>4.0999999999999943</v>
      </c>
      <c r="M20" s="6">
        <f>100-61.5</f>
        <v>38.5</v>
      </c>
    </row>
    <row r="21" spans="1:13" x14ac:dyDescent="0.25">
      <c r="A21" s="4">
        <v>2017</v>
      </c>
      <c r="B21" s="6">
        <f>100-92.8</f>
        <v>7.2000000000000028</v>
      </c>
      <c r="C21" s="6">
        <f>100-95.1</f>
        <v>4.9000000000000057</v>
      </c>
      <c r="D21" s="6">
        <f>100-91.6</f>
        <v>8.4000000000000057</v>
      </c>
      <c r="E21" s="6">
        <f>100-75.3</f>
        <v>24.700000000000003</v>
      </c>
      <c r="F21" s="6">
        <f>100-95.3</f>
        <v>4.7000000000000028</v>
      </c>
      <c r="G21" s="6">
        <f>100-81.1</f>
        <v>18.900000000000006</v>
      </c>
      <c r="H21" s="6">
        <f>100-25.6</f>
        <v>74.400000000000006</v>
      </c>
      <c r="I21" s="6">
        <f>100-96</f>
        <v>4</v>
      </c>
      <c r="J21" s="6">
        <f>100-66.8</f>
        <v>33.200000000000003</v>
      </c>
      <c r="K21" s="6">
        <f>100-10.8</f>
        <v>89.2</v>
      </c>
      <c r="L21" s="6">
        <f>100-96</f>
        <v>4</v>
      </c>
      <c r="M21" s="6">
        <f>100-61.2</f>
        <v>38.799999999999997</v>
      </c>
    </row>
    <row r="22" spans="1:13" x14ac:dyDescent="0.25">
      <c r="A22" s="4">
        <v>2018</v>
      </c>
      <c r="B22" s="6">
        <f>100-92.9</f>
        <v>7.0999999999999943</v>
      </c>
      <c r="C22" s="6">
        <f>100-95.1</f>
        <v>4.9000000000000057</v>
      </c>
      <c r="D22" s="6">
        <f>100-91.8</f>
        <v>8.2000000000000028</v>
      </c>
      <c r="E22" s="6">
        <f>100-76.1</f>
        <v>23.900000000000006</v>
      </c>
      <c r="F22" s="6">
        <f>100-95.1</f>
        <v>4.9000000000000057</v>
      </c>
      <c r="G22" s="6">
        <f>100-81.6</f>
        <v>18.400000000000006</v>
      </c>
      <c r="H22" s="6">
        <f>100-26.5</f>
        <v>73.5</v>
      </c>
      <c r="I22" s="6">
        <f>100-96.1</f>
        <v>3.9000000000000057</v>
      </c>
      <c r="J22" s="6">
        <f>100-67.5</f>
        <v>32.5</v>
      </c>
      <c r="K22" s="6">
        <f>100-10.7</f>
        <v>89.3</v>
      </c>
      <c r="L22" s="6">
        <f>100-95.9</f>
        <v>4.0999999999999943</v>
      </c>
      <c r="M22" s="6">
        <f>100-61.1</f>
        <v>38.9</v>
      </c>
    </row>
    <row r="23" spans="1:13" x14ac:dyDescent="0.25">
      <c r="A23" s="4">
        <v>2019</v>
      </c>
      <c r="B23" s="6">
        <f>100-93.5</f>
        <v>6.5</v>
      </c>
      <c r="C23" s="6">
        <f>100-95.4</f>
        <v>4.5999999999999943</v>
      </c>
      <c r="D23" s="6">
        <f>100-89.2</f>
        <v>10.799999999999997</v>
      </c>
      <c r="E23" s="6">
        <f>100-77.5</f>
        <v>22.5</v>
      </c>
      <c r="F23" s="6">
        <f>100-95.4</f>
        <v>4.5999999999999943</v>
      </c>
      <c r="G23" s="6">
        <f>100-77.5</f>
        <v>22.5</v>
      </c>
      <c r="H23" s="6">
        <f>100-27.8</f>
        <v>72.2</v>
      </c>
      <c r="I23" s="6">
        <f>100-96</f>
        <v>4</v>
      </c>
      <c r="J23" s="6">
        <f>100-62.1</f>
        <v>37.9</v>
      </c>
      <c r="K23" s="6">
        <f>100-10.7</f>
        <v>89.3</v>
      </c>
      <c r="L23" s="6">
        <f>100-96</f>
        <v>4</v>
      </c>
      <c r="M23" s="6">
        <f>100-48.9</f>
        <v>51.1</v>
      </c>
    </row>
    <row r="24" spans="1:13" x14ac:dyDescent="0.25">
      <c r="A24" s="4">
        <v>2020</v>
      </c>
      <c r="B24" s="6">
        <f>100-93.8</f>
        <v>6.2000000000000028</v>
      </c>
      <c r="C24" s="6">
        <f>100-95.6</f>
        <v>4.4000000000000057</v>
      </c>
      <c r="D24" s="6">
        <f>100-89</f>
        <v>11</v>
      </c>
      <c r="E24" s="6">
        <f>100-78</f>
        <v>22</v>
      </c>
      <c r="F24" s="6">
        <f>100-95.3</f>
        <v>4.7000000000000028</v>
      </c>
      <c r="G24" s="6">
        <f>100-77.7</f>
        <v>22.299999999999997</v>
      </c>
      <c r="H24" s="6">
        <f>100-28.1</f>
        <v>71.900000000000006</v>
      </c>
      <c r="I24" s="6">
        <f>100-95.8</f>
        <v>4.2000000000000028</v>
      </c>
      <c r="J24" s="6">
        <f>100-61.9</f>
        <v>38.1</v>
      </c>
      <c r="K24" s="6">
        <f>100-10.4</f>
        <v>89.6</v>
      </c>
      <c r="L24" s="6">
        <f>100-96.2</f>
        <v>3.7999999999999972</v>
      </c>
      <c r="M24" s="6">
        <f>100-49.1</f>
        <v>50.9</v>
      </c>
    </row>
    <row r="25" spans="1:13" x14ac:dyDescent="0.25">
      <c r="A25" s="4">
        <v>2021</v>
      </c>
      <c r="B25" s="6">
        <f>100-94.2</f>
        <v>5.7999999999999972</v>
      </c>
      <c r="C25" s="6">
        <f>100-95.8</f>
        <v>4.2000000000000028</v>
      </c>
      <c r="D25" s="6">
        <f>100-89.8</f>
        <v>10.200000000000003</v>
      </c>
      <c r="E25" s="6">
        <f>100-79.5</f>
        <v>20.5</v>
      </c>
      <c r="F25" s="6">
        <f>100-95.4</f>
        <v>4.5999999999999943</v>
      </c>
      <c r="G25" s="6">
        <f>100-79</f>
        <v>21</v>
      </c>
      <c r="H25" s="6">
        <f>100-30.6</f>
        <v>69.400000000000006</v>
      </c>
      <c r="I25" s="6">
        <f>100-95.8</f>
        <v>4.2000000000000028</v>
      </c>
      <c r="J25" s="6">
        <f>100-63.8</f>
        <v>36.200000000000003</v>
      </c>
      <c r="K25" s="6">
        <f>100-11.5</f>
        <v>88.5</v>
      </c>
      <c r="L25" s="6">
        <f>100-95.8</f>
        <v>4.2000000000000028</v>
      </c>
      <c r="M25" s="6">
        <f>100-51.2</f>
        <v>48.8</v>
      </c>
    </row>
    <row r="26" spans="1:13" x14ac:dyDescent="0.25">
      <c r="A26" s="4">
        <v>2022</v>
      </c>
      <c r="B26" s="6">
        <f>100-94.5</f>
        <v>5.5</v>
      </c>
      <c r="C26" s="6">
        <f>100-95.9</f>
        <v>4.0999999999999943</v>
      </c>
      <c r="D26" s="6">
        <f>100-89.9</f>
        <v>10.099999999999994</v>
      </c>
      <c r="E26" s="6">
        <f>100-80</f>
        <v>20</v>
      </c>
      <c r="F26" s="6">
        <f>100-95.5</f>
        <v>4.5</v>
      </c>
      <c r="G26" s="6">
        <f>100-79.1</f>
        <v>20.900000000000006</v>
      </c>
      <c r="H26" s="6">
        <f>100-32.2</f>
        <v>67.8</v>
      </c>
      <c r="I26" s="6">
        <f>100-95.6</f>
        <v>4.4000000000000057</v>
      </c>
      <c r="J26" s="6">
        <f>100-64.3</f>
        <v>35.700000000000003</v>
      </c>
      <c r="K26" s="6">
        <f>100-11.8</f>
        <v>88.2</v>
      </c>
      <c r="L26" s="6">
        <f>100-95.6</f>
        <v>4.4000000000000057</v>
      </c>
      <c r="M26" s="6">
        <f>100-51.3</f>
        <v>48.7</v>
      </c>
    </row>
    <row r="27" spans="1:13" x14ac:dyDescent="0.25">
      <c r="A27" s="4">
        <v>2023</v>
      </c>
    </row>
    <row r="28" spans="1:13" x14ac:dyDescent="0.25">
      <c r="A28" s="4">
        <v>2024</v>
      </c>
    </row>
  </sheetData>
  <mergeCells count="5">
    <mergeCell ref="B2:D2"/>
    <mergeCell ref="E2:G2"/>
    <mergeCell ref="H2:J2"/>
    <mergeCell ref="K2:M2"/>
    <mergeCell ref="N2:P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3E895-DA3C-4C43-A760-54050B379A86}">
  <dimension ref="A1:AE44"/>
  <sheetViews>
    <sheetView tabSelected="1"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7.7109375" style="4" customWidth="1"/>
    <col min="2" max="2" width="11.7109375" style="21" customWidth="1"/>
    <col min="3" max="3" width="10.5703125" style="21" hidden="1" customWidth="1"/>
    <col min="4" max="4" width="8.85546875" style="6" customWidth="1"/>
    <col min="5" max="5" width="10.140625" style="21" customWidth="1"/>
    <col min="6" max="6" width="10.7109375" style="21" customWidth="1"/>
    <col min="7" max="7" width="9.42578125" style="2" customWidth="1"/>
    <col min="8" max="8" width="9.140625" style="21"/>
    <col min="9" max="9" width="0" style="21" hidden="1" customWidth="1"/>
    <col min="10" max="10" width="9.140625" style="6"/>
    <col min="11" max="11" width="9.140625" style="21"/>
    <col min="12" max="12" width="10.28515625" style="21" customWidth="1"/>
    <col min="13" max="13" width="9.140625" style="6"/>
    <col min="14" max="14" width="9.140625" style="21"/>
    <col min="15" max="15" width="0" style="21" hidden="1" customWidth="1"/>
    <col min="16" max="16" width="9.140625" style="6"/>
    <col min="17" max="17" width="10" style="21" customWidth="1"/>
    <col min="18" max="18" width="10.28515625" style="21" customWidth="1"/>
    <col min="19" max="19" width="9.140625" style="6"/>
    <col min="20" max="20" width="9.140625" style="21"/>
    <col min="21" max="21" width="0" style="21" hidden="1" customWidth="1"/>
    <col min="22" max="22" width="9.140625" style="6"/>
    <col min="23" max="24" width="10.140625" style="21" customWidth="1"/>
    <col min="25" max="25" width="9.140625" style="6"/>
    <col min="26" max="26" width="9.140625" style="2"/>
    <col min="27" max="27" width="0" style="2" hidden="1" customWidth="1"/>
    <col min="28" max="28" width="9.140625" style="2"/>
    <col min="29" max="30" width="9.85546875" style="2" customWidth="1"/>
    <col min="31" max="31" width="9.140625" style="2"/>
    <col min="32" max="32" width="4.7109375" style="2" customWidth="1"/>
    <col min="33" max="16384" width="9.140625" style="2"/>
  </cols>
  <sheetData>
    <row r="1" spans="1:31" x14ac:dyDescent="0.25">
      <c r="A1" s="38" t="s">
        <v>37</v>
      </c>
      <c r="B1" s="39" t="s">
        <v>26</v>
      </c>
      <c r="C1" s="40"/>
      <c r="D1" s="40"/>
      <c r="E1" s="40"/>
      <c r="F1" s="40"/>
      <c r="G1" s="40"/>
      <c r="H1" s="41" t="s">
        <v>29</v>
      </c>
      <c r="I1" s="42"/>
      <c r="J1" s="42"/>
      <c r="K1" s="42"/>
      <c r="L1" s="42"/>
      <c r="M1" s="42"/>
      <c r="N1" s="43" t="s">
        <v>30</v>
      </c>
      <c r="O1" s="43"/>
      <c r="P1" s="43"/>
      <c r="Q1" s="43"/>
      <c r="R1" s="43"/>
      <c r="S1" s="43"/>
      <c r="T1" s="44" t="s">
        <v>31</v>
      </c>
      <c r="U1" s="44"/>
      <c r="V1" s="45"/>
      <c r="W1" s="44"/>
      <c r="X1" s="44"/>
      <c r="Y1" s="45"/>
      <c r="Z1" s="36" t="s">
        <v>5</v>
      </c>
      <c r="AA1" s="36"/>
      <c r="AB1" s="37"/>
      <c r="AC1" s="36"/>
      <c r="AD1" s="36"/>
      <c r="AE1" s="37"/>
    </row>
    <row r="2" spans="1:31" s="1" customFormat="1" ht="60" x14ac:dyDescent="0.25">
      <c r="A2" s="38"/>
      <c r="B2" s="20" t="s">
        <v>32</v>
      </c>
      <c r="C2" s="20" t="s">
        <v>36</v>
      </c>
      <c r="D2" s="7" t="s">
        <v>34</v>
      </c>
      <c r="E2" s="20" t="s">
        <v>35</v>
      </c>
      <c r="F2" s="20" t="s">
        <v>36</v>
      </c>
      <c r="G2" s="1" t="s">
        <v>35</v>
      </c>
      <c r="H2" s="20" t="s">
        <v>32</v>
      </c>
      <c r="I2" s="20" t="s">
        <v>36</v>
      </c>
      <c r="J2" s="7" t="s">
        <v>34</v>
      </c>
      <c r="K2" s="20" t="s">
        <v>35</v>
      </c>
      <c r="L2" s="20" t="s">
        <v>36</v>
      </c>
      <c r="M2" s="7" t="s">
        <v>35</v>
      </c>
      <c r="N2" s="20" t="s">
        <v>32</v>
      </c>
      <c r="O2" s="20" t="s">
        <v>36</v>
      </c>
      <c r="P2" s="7" t="s">
        <v>34</v>
      </c>
      <c r="Q2" s="20" t="s">
        <v>35</v>
      </c>
      <c r="R2" s="20" t="s">
        <v>36</v>
      </c>
      <c r="S2" s="7" t="s">
        <v>35</v>
      </c>
      <c r="T2" s="20" t="s">
        <v>32</v>
      </c>
      <c r="U2" s="20" t="s">
        <v>36</v>
      </c>
      <c r="V2" s="7" t="s">
        <v>34</v>
      </c>
      <c r="W2" s="20" t="s">
        <v>35</v>
      </c>
      <c r="X2" s="20" t="s">
        <v>36</v>
      </c>
      <c r="Y2" s="7" t="s">
        <v>35</v>
      </c>
      <c r="Z2" s="20" t="s">
        <v>32</v>
      </c>
      <c r="AA2" s="20" t="s">
        <v>36</v>
      </c>
      <c r="AB2" s="7" t="s">
        <v>34</v>
      </c>
      <c r="AC2" s="20" t="s">
        <v>35</v>
      </c>
      <c r="AD2" s="20" t="s">
        <v>36</v>
      </c>
      <c r="AE2" s="7" t="s">
        <v>35</v>
      </c>
    </row>
    <row r="3" spans="1:31" s="1" customFormat="1" ht="45" x14ac:dyDescent="0.25">
      <c r="A3" s="38"/>
      <c r="B3" s="20" t="s">
        <v>33</v>
      </c>
      <c r="C3" s="20" t="s">
        <v>33</v>
      </c>
      <c r="D3" s="7" t="s">
        <v>38</v>
      </c>
      <c r="E3" s="20" t="s">
        <v>33</v>
      </c>
      <c r="F3" s="20" t="s">
        <v>33</v>
      </c>
      <c r="G3" s="7" t="s">
        <v>38</v>
      </c>
      <c r="H3" s="20" t="s">
        <v>33</v>
      </c>
      <c r="I3" s="20" t="s">
        <v>33</v>
      </c>
      <c r="J3" s="7" t="s">
        <v>38</v>
      </c>
      <c r="K3" s="20" t="s">
        <v>33</v>
      </c>
      <c r="L3" s="20" t="s">
        <v>33</v>
      </c>
      <c r="M3" s="7" t="s">
        <v>38</v>
      </c>
      <c r="N3" s="20" t="s">
        <v>33</v>
      </c>
      <c r="O3" s="20" t="s">
        <v>33</v>
      </c>
      <c r="P3" s="7" t="s">
        <v>38</v>
      </c>
      <c r="Q3" s="20" t="s">
        <v>33</v>
      </c>
      <c r="R3" s="20" t="s">
        <v>33</v>
      </c>
      <c r="S3" s="7" t="s">
        <v>38</v>
      </c>
      <c r="T3" s="20" t="s">
        <v>33</v>
      </c>
      <c r="U3" s="20" t="s">
        <v>33</v>
      </c>
      <c r="V3" s="7" t="s">
        <v>38</v>
      </c>
      <c r="W3" s="20" t="s">
        <v>33</v>
      </c>
      <c r="X3" s="20" t="s">
        <v>33</v>
      </c>
      <c r="Y3" s="7" t="s">
        <v>38</v>
      </c>
      <c r="Z3" s="20" t="s">
        <v>33</v>
      </c>
      <c r="AA3" s="20" t="s">
        <v>33</v>
      </c>
      <c r="AB3" s="7" t="s">
        <v>38</v>
      </c>
      <c r="AC3" s="20" t="s">
        <v>33</v>
      </c>
      <c r="AD3" s="20" t="s">
        <v>33</v>
      </c>
      <c r="AE3" s="7" t="s">
        <v>38</v>
      </c>
    </row>
    <row r="4" spans="1:31" s="1" customFormat="1" ht="9" customHeight="1" x14ac:dyDescent="0.25">
      <c r="A4" s="3"/>
      <c r="B4" s="20"/>
      <c r="C4" s="20"/>
      <c r="D4" s="7"/>
      <c r="E4" s="20"/>
      <c r="F4" s="20"/>
      <c r="H4" s="20"/>
      <c r="I4" s="20"/>
      <c r="J4" s="7"/>
      <c r="K4" s="20"/>
      <c r="L4" s="20"/>
      <c r="M4" s="7"/>
      <c r="N4" s="20"/>
      <c r="O4" s="20"/>
      <c r="P4" s="7"/>
      <c r="Q4" s="20"/>
      <c r="R4" s="20"/>
      <c r="S4" s="7"/>
      <c r="T4" s="20"/>
      <c r="U4" s="20"/>
      <c r="V4" s="7"/>
      <c r="W4" s="20"/>
      <c r="X4" s="20"/>
      <c r="Y4" s="7"/>
    </row>
    <row r="5" spans="1:31" x14ac:dyDescent="0.25">
      <c r="A5" s="4">
        <v>1991</v>
      </c>
      <c r="B5" s="21">
        <v>212999</v>
      </c>
      <c r="C5" s="21">
        <v>10619539</v>
      </c>
      <c r="D5" s="6">
        <f>(B5/F5)*100</f>
        <v>2.0057273672614224</v>
      </c>
      <c r="E5" s="21">
        <v>742968</v>
      </c>
      <c r="F5" s="21">
        <v>10619539</v>
      </c>
      <c r="G5" s="6">
        <f>(E5/F5)*100</f>
        <v>6.996235900635611</v>
      </c>
      <c r="H5" s="21">
        <v>318521</v>
      </c>
      <c r="J5" s="6">
        <f>(H5/L5)*100</f>
        <v>3.024835060018837</v>
      </c>
      <c r="K5" s="21">
        <v>3756332</v>
      </c>
      <c r="L5" s="21">
        <v>10530194</v>
      </c>
      <c r="M5" s="6">
        <f>(K5/L5)*100</f>
        <v>35.67201136085432</v>
      </c>
      <c r="N5" s="21">
        <v>119550</v>
      </c>
      <c r="P5" s="6">
        <f>(N5/R5)*100</f>
        <v>1.1848962450137475</v>
      </c>
      <c r="Q5" s="21">
        <v>8592054</v>
      </c>
      <c r="R5" s="21">
        <v>10089491</v>
      </c>
      <c r="S5" s="6">
        <f>(Q5/R5)*100</f>
        <v>85.158448528275613</v>
      </c>
      <c r="V5" s="6">
        <f>(T5/X5)*100</f>
        <v>0</v>
      </c>
      <c r="W5" s="21">
        <v>7650694</v>
      </c>
      <c r="X5" s="21">
        <v>8351310</v>
      </c>
      <c r="Y5" s="6">
        <f>(W5/X5)*100</f>
        <v>91.610705386340584</v>
      </c>
      <c r="AB5" s="6">
        <f>(Z5/AD5)*100</f>
        <v>0</v>
      </c>
      <c r="AC5" s="21">
        <v>9505396</v>
      </c>
      <c r="AD5" s="21">
        <v>10136079</v>
      </c>
      <c r="AE5" s="6">
        <f>(AC5/AD5)*100</f>
        <v>93.777840523934358</v>
      </c>
    </row>
    <row r="6" spans="1:31" x14ac:dyDescent="0.25">
      <c r="A6" s="4">
        <v>1992</v>
      </c>
      <c r="B6" s="21">
        <v>221850</v>
      </c>
      <c r="D6" s="6">
        <f t="shared" ref="D6:D36" si="0">(B6/F6)*100</f>
        <v>2.0698192917607381</v>
      </c>
      <c r="E6" s="21">
        <v>790053</v>
      </c>
      <c r="F6" s="21">
        <v>10718327</v>
      </c>
      <c r="G6" s="6">
        <f t="shared" ref="G6:G36" si="1">(E6/F6)*100</f>
        <v>7.3710477390734583</v>
      </c>
      <c r="H6" s="21">
        <v>268772</v>
      </c>
      <c r="J6" s="6">
        <f t="shared" ref="J6:J36" si="2">(H6/L6)*100</f>
        <v>2.5526964002566257</v>
      </c>
      <c r="K6" s="21">
        <v>3800636</v>
      </c>
      <c r="L6" s="21">
        <v>10528945</v>
      </c>
      <c r="M6" s="6">
        <f t="shared" ref="M6:M36" si="3">(K6/L6)*100</f>
        <v>36.097025865364479</v>
      </c>
      <c r="N6" s="21">
        <v>124203</v>
      </c>
      <c r="P6" s="6">
        <f t="shared" ref="P6:P36" si="4">(N6/R6)*100</f>
        <v>1.2632283614564366</v>
      </c>
      <c r="Q6" s="21">
        <v>8615176</v>
      </c>
      <c r="R6" s="21">
        <v>9832189</v>
      </c>
      <c r="S6" s="6">
        <f t="shared" ref="S6:S36" si="5">(Q6/R6)*100</f>
        <v>87.622156164817426</v>
      </c>
      <c r="V6" s="6">
        <f t="shared" ref="V6:V36" si="6">(T6/X6)*100</f>
        <v>0</v>
      </c>
      <c r="W6" s="21">
        <v>7899677</v>
      </c>
      <c r="X6" s="21">
        <v>8530165</v>
      </c>
      <c r="Y6" s="6">
        <f t="shared" ref="Y6:Y36" si="7">(W6/X6)*100</f>
        <v>92.608724450230454</v>
      </c>
      <c r="AB6" s="6">
        <f t="shared" ref="AB6:AB36" si="8">(Z6/AD6)*100</f>
        <v>0</v>
      </c>
      <c r="AC6" s="21">
        <v>9847064</v>
      </c>
      <c r="AD6" s="21">
        <v>10414729</v>
      </c>
      <c r="AE6" s="6">
        <f t="shared" ref="AE6:AE36" si="9">(AC6/AD6)*100</f>
        <v>94.549402101581322</v>
      </c>
    </row>
    <row r="7" spans="1:31" x14ac:dyDescent="0.25">
      <c r="A7" s="4">
        <v>1993</v>
      </c>
      <c r="B7" s="21">
        <v>246101</v>
      </c>
      <c r="D7" s="6">
        <f t="shared" si="0"/>
        <v>2.2930989741661691</v>
      </c>
      <c r="E7" s="21">
        <v>717586</v>
      </c>
      <c r="F7" s="21">
        <v>10732245</v>
      </c>
      <c r="G7" s="6">
        <f t="shared" si="1"/>
        <v>6.6862618212685225</v>
      </c>
      <c r="H7" s="21">
        <v>244055</v>
      </c>
      <c r="J7" s="6">
        <f t="shared" si="2"/>
        <v>2.4392776727658854</v>
      </c>
      <c r="K7" s="21">
        <v>3731446</v>
      </c>
      <c r="L7" s="21">
        <v>10005216</v>
      </c>
      <c r="M7" s="6">
        <f t="shared" si="3"/>
        <v>37.29500692438824</v>
      </c>
      <c r="N7" s="21">
        <v>116454</v>
      </c>
      <c r="P7" s="6">
        <f t="shared" si="4"/>
        <v>1.2134530802101926</v>
      </c>
      <c r="Q7" s="21">
        <v>8250101</v>
      </c>
      <c r="R7" s="21">
        <v>9596910</v>
      </c>
      <c r="S7" s="6">
        <f t="shared" si="5"/>
        <v>85.966222461188025</v>
      </c>
      <c r="V7" s="6">
        <f t="shared" si="6"/>
        <v>0</v>
      </c>
      <c r="W7" s="21">
        <v>7799582</v>
      </c>
      <c r="X7" s="21">
        <v>8489994</v>
      </c>
      <c r="Y7" s="6">
        <f t="shared" si="7"/>
        <v>91.867933004428508</v>
      </c>
      <c r="AB7" s="6">
        <f t="shared" si="8"/>
        <v>0</v>
      </c>
      <c r="AC7" s="21">
        <v>9739689</v>
      </c>
      <c r="AD7" s="21">
        <v>10343396</v>
      </c>
      <c r="AE7" s="6">
        <f t="shared" si="9"/>
        <v>94.163357953229294</v>
      </c>
    </row>
    <row r="8" spans="1:31" x14ac:dyDescent="0.25">
      <c r="A8" s="4">
        <v>1994</v>
      </c>
      <c r="B8" s="21">
        <v>244198</v>
      </c>
      <c r="D8" s="6">
        <f t="shared" si="0"/>
        <v>2.2519442774786942</v>
      </c>
      <c r="E8" s="21">
        <v>744780</v>
      </c>
      <c r="F8" s="21">
        <v>10843874</v>
      </c>
      <c r="G8" s="6">
        <f t="shared" si="1"/>
        <v>6.868209645372124</v>
      </c>
      <c r="H8" s="21">
        <v>248902</v>
      </c>
      <c r="J8" s="6">
        <f t="shared" si="2"/>
        <v>2.511247047618471</v>
      </c>
      <c r="K8" s="21">
        <v>3682169</v>
      </c>
      <c r="L8" s="21">
        <v>9911490</v>
      </c>
      <c r="M8" s="6">
        <f t="shared" si="3"/>
        <v>37.150509156544572</v>
      </c>
      <c r="N8" s="21">
        <v>93209</v>
      </c>
      <c r="P8" s="6">
        <f t="shared" si="4"/>
        <v>0.9651239738393822</v>
      </c>
      <c r="Q8" s="21">
        <v>8307949</v>
      </c>
      <c r="R8" s="21">
        <v>9657723</v>
      </c>
      <c r="S8" s="6">
        <f t="shared" si="5"/>
        <v>86.023889896200174</v>
      </c>
      <c r="V8" s="6">
        <f t="shared" si="6"/>
        <v>0</v>
      </c>
      <c r="W8" s="21">
        <v>7911333</v>
      </c>
      <c r="X8" s="21">
        <v>8556479</v>
      </c>
      <c r="Y8" s="6">
        <f t="shared" si="7"/>
        <v>92.46014628213311</v>
      </c>
      <c r="AB8" s="6">
        <f t="shared" si="8"/>
        <v>0</v>
      </c>
      <c r="AC8" s="21">
        <v>10121209</v>
      </c>
      <c r="AD8" s="21">
        <v>10755935</v>
      </c>
      <c r="AE8" s="6">
        <f t="shared" si="9"/>
        <v>94.098830087760859</v>
      </c>
    </row>
    <row r="9" spans="1:31" x14ac:dyDescent="0.25">
      <c r="A9" s="4">
        <v>1995</v>
      </c>
      <c r="B9" s="21">
        <v>216241</v>
      </c>
      <c r="D9" s="6">
        <f t="shared" si="0"/>
        <v>1.9135580856968124</v>
      </c>
      <c r="E9" s="21">
        <v>912686</v>
      </c>
      <c r="F9" s="21">
        <v>11300467</v>
      </c>
      <c r="G9" s="6">
        <f t="shared" si="1"/>
        <v>8.076533474236065</v>
      </c>
      <c r="H9" s="21">
        <v>189162</v>
      </c>
      <c r="J9" s="6">
        <f t="shared" si="2"/>
        <v>1.9334013839270792</v>
      </c>
      <c r="K9" s="21">
        <v>3559542</v>
      </c>
      <c r="L9" s="21">
        <v>9783897</v>
      </c>
      <c r="M9" s="6">
        <f t="shared" si="3"/>
        <v>36.381638114137957</v>
      </c>
      <c r="N9" s="21">
        <v>108036</v>
      </c>
      <c r="P9" s="6">
        <f t="shared" si="4"/>
        <v>1.1084727534306829</v>
      </c>
      <c r="Q9" s="21">
        <v>8368041</v>
      </c>
      <c r="R9" s="21">
        <v>9746383</v>
      </c>
      <c r="S9" s="6">
        <f t="shared" si="5"/>
        <v>85.857912622559567</v>
      </c>
      <c r="V9" s="6">
        <f t="shared" si="6"/>
        <v>0</v>
      </c>
      <c r="W9" s="21">
        <v>7881270</v>
      </c>
      <c r="X9" s="21">
        <v>8523807</v>
      </c>
      <c r="Y9" s="6">
        <f t="shared" si="7"/>
        <v>92.461854192616045</v>
      </c>
      <c r="AB9" s="6">
        <f t="shared" si="8"/>
        <v>0</v>
      </c>
      <c r="AC9" s="21">
        <v>10392158</v>
      </c>
      <c r="AD9" s="21">
        <v>11084153</v>
      </c>
      <c r="AE9" s="6">
        <f t="shared" si="9"/>
        <v>93.756897798144792</v>
      </c>
    </row>
    <row r="10" spans="1:31" x14ac:dyDescent="0.25">
      <c r="A10" s="4">
        <v>1996</v>
      </c>
      <c r="B10" s="21">
        <v>215068</v>
      </c>
      <c r="D10" s="6">
        <f t="shared" si="0"/>
        <v>1.8574385591663203</v>
      </c>
      <c r="E10" s="21">
        <v>867631</v>
      </c>
      <c r="F10" s="21">
        <v>11578741</v>
      </c>
      <c r="G10" s="6">
        <f t="shared" si="1"/>
        <v>7.4933103694089027</v>
      </c>
      <c r="H10" s="21">
        <v>214104</v>
      </c>
      <c r="J10" s="6">
        <f t="shared" si="2"/>
        <v>2.1635228972435758</v>
      </c>
      <c r="K10" s="21">
        <v>3488981</v>
      </c>
      <c r="L10" s="21">
        <v>9896082</v>
      </c>
      <c r="M10" s="6">
        <f t="shared" si="3"/>
        <v>35.256185225627675</v>
      </c>
      <c r="N10" s="21">
        <v>126043</v>
      </c>
      <c r="P10" s="6">
        <f t="shared" si="4"/>
        <v>1.3266597745995119</v>
      </c>
      <c r="Q10" s="21">
        <v>7964490</v>
      </c>
      <c r="R10" s="21">
        <v>9500778</v>
      </c>
      <c r="S10" s="6">
        <f t="shared" si="5"/>
        <v>83.829871616829692</v>
      </c>
      <c r="V10" s="6">
        <f t="shared" si="6"/>
        <v>0</v>
      </c>
      <c r="W10" s="21">
        <v>7835641</v>
      </c>
      <c r="X10" s="21">
        <v>8514413</v>
      </c>
      <c r="Y10" s="6">
        <f t="shared" si="7"/>
        <v>92.027964816834711</v>
      </c>
      <c r="AB10" s="6">
        <f t="shared" si="8"/>
        <v>0</v>
      </c>
      <c r="AC10" s="21">
        <v>10736381</v>
      </c>
      <c r="AD10" s="21">
        <v>11519155</v>
      </c>
      <c r="AE10" s="6">
        <f t="shared" si="9"/>
        <v>93.204588357392538</v>
      </c>
    </row>
    <row r="11" spans="1:31" x14ac:dyDescent="0.25">
      <c r="A11" s="4">
        <v>1997</v>
      </c>
      <c r="B11" s="21">
        <v>202385</v>
      </c>
      <c r="D11" s="6">
        <f t="shared" si="0"/>
        <v>1.660225569516393</v>
      </c>
      <c r="E11" s="21">
        <v>936290</v>
      </c>
      <c r="F11" s="21">
        <v>12190211</v>
      </c>
      <c r="G11" s="6">
        <f t="shared" si="1"/>
        <v>7.6806709908466715</v>
      </c>
      <c r="H11" s="21">
        <v>198692</v>
      </c>
      <c r="J11" s="6">
        <f t="shared" si="2"/>
        <v>1.9741072542768416</v>
      </c>
      <c r="K11" s="21">
        <v>3395704</v>
      </c>
      <c r="L11" s="21">
        <v>10064904</v>
      </c>
      <c r="M11" s="6">
        <f t="shared" si="3"/>
        <v>33.738066453490269</v>
      </c>
      <c r="N11" s="21">
        <v>94017</v>
      </c>
      <c r="P11" s="6">
        <f t="shared" si="4"/>
        <v>1.0043352732371575</v>
      </c>
      <c r="Q11" s="21">
        <v>7847636</v>
      </c>
      <c r="R11" s="21">
        <v>9361117</v>
      </c>
      <c r="S11" s="6">
        <f t="shared" si="5"/>
        <v>83.832260615907273</v>
      </c>
      <c r="V11" s="6">
        <f t="shared" si="6"/>
        <v>0</v>
      </c>
      <c r="W11" s="21">
        <v>7798625</v>
      </c>
      <c r="X11" s="21">
        <v>8512498</v>
      </c>
      <c r="Y11" s="6">
        <f t="shared" si="7"/>
        <v>91.613824755083641</v>
      </c>
      <c r="AB11" s="6">
        <f t="shared" si="8"/>
        <v>0</v>
      </c>
      <c r="AC11" s="21">
        <v>10998480</v>
      </c>
      <c r="AD11" s="21">
        <v>11829813</v>
      </c>
      <c r="AE11" s="6">
        <f t="shared" si="9"/>
        <v>92.972560090341233</v>
      </c>
    </row>
    <row r="12" spans="1:31" x14ac:dyDescent="0.25">
      <c r="A12" s="4">
        <v>1998</v>
      </c>
      <c r="B12" s="21">
        <v>238763</v>
      </c>
      <c r="D12" s="6">
        <f t="shared" si="0"/>
        <v>1.8947603820073353</v>
      </c>
      <c r="E12" s="21">
        <v>938551</v>
      </c>
      <c r="F12" s="21">
        <v>12601224</v>
      </c>
      <c r="G12" s="6">
        <f t="shared" si="1"/>
        <v>7.4480939311927159</v>
      </c>
      <c r="H12" s="21">
        <v>221127</v>
      </c>
      <c r="J12" s="6">
        <f t="shared" si="2"/>
        <v>2.1452049803035824</v>
      </c>
      <c r="K12" s="21">
        <v>3539170</v>
      </c>
      <c r="L12" s="21">
        <v>10307966</v>
      </c>
      <c r="M12" s="6">
        <f t="shared" si="3"/>
        <v>34.334319690227929</v>
      </c>
      <c r="N12" s="21">
        <v>85246</v>
      </c>
      <c r="P12" s="6">
        <f t="shared" si="4"/>
        <v>0.91468275811305344</v>
      </c>
      <c r="Q12" s="21">
        <v>7748260</v>
      </c>
      <c r="R12" s="21">
        <v>9319734</v>
      </c>
      <c r="S12" s="6">
        <f t="shared" si="5"/>
        <v>83.138209738604132</v>
      </c>
      <c r="V12" s="6">
        <f t="shared" si="6"/>
        <v>0</v>
      </c>
      <c r="W12" s="21">
        <v>7766262</v>
      </c>
      <c r="X12" s="21">
        <v>8523505</v>
      </c>
      <c r="Y12" s="6">
        <f t="shared" si="7"/>
        <v>91.115826177141912</v>
      </c>
      <c r="AB12" s="6">
        <f t="shared" si="8"/>
        <v>0</v>
      </c>
      <c r="AC12" s="21">
        <v>11232534</v>
      </c>
      <c r="AD12" s="21">
        <v>12107579</v>
      </c>
      <c r="AE12" s="6">
        <f t="shared" si="9"/>
        <v>92.772750027069819</v>
      </c>
    </row>
    <row r="13" spans="1:31" x14ac:dyDescent="0.25">
      <c r="A13" s="4">
        <v>1999</v>
      </c>
      <c r="B13" s="21">
        <v>275808</v>
      </c>
      <c r="D13" s="6">
        <f t="shared" si="0"/>
        <v>2.1434125199481961</v>
      </c>
      <c r="E13" s="21">
        <v>1028276</v>
      </c>
      <c r="F13" s="21">
        <v>12867705</v>
      </c>
      <c r="G13" s="6">
        <f t="shared" si="1"/>
        <v>7.9911375027637028</v>
      </c>
      <c r="H13" s="21">
        <v>197631</v>
      </c>
      <c r="J13" s="6">
        <f t="shared" si="2"/>
        <v>1.8787781187863173</v>
      </c>
      <c r="K13" s="21">
        <v>3572747</v>
      </c>
      <c r="L13" s="21">
        <v>10519124</v>
      </c>
      <c r="M13" s="6">
        <f t="shared" si="3"/>
        <v>33.964301590132415</v>
      </c>
      <c r="N13" s="21">
        <v>70370</v>
      </c>
      <c r="P13" s="6">
        <f t="shared" si="4"/>
        <v>0.75245904514155471</v>
      </c>
      <c r="Q13" s="21">
        <v>7738706</v>
      </c>
      <c r="R13" s="21">
        <v>9352004</v>
      </c>
      <c r="S13" s="6">
        <f t="shared" si="5"/>
        <v>82.749173332261194</v>
      </c>
      <c r="V13" s="6">
        <f t="shared" si="6"/>
        <v>0</v>
      </c>
      <c r="W13" s="21">
        <v>7707827</v>
      </c>
      <c r="X13" s="21">
        <v>8444413</v>
      </c>
      <c r="Y13" s="6">
        <f t="shared" si="7"/>
        <v>91.277238571822579</v>
      </c>
      <c r="AB13" s="6">
        <f t="shared" si="8"/>
        <v>0</v>
      </c>
      <c r="AC13" s="21">
        <v>11418570</v>
      </c>
      <c r="AD13" s="21">
        <v>12296801</v>
      </c>
      <c r="AE13" s="6">
        <f t="shared" si="9"/>
        <v>92.85805308226098</v>
      </c>
    </row>
    <row r="14" spans="1:31" x14ac:dyDescent="0.25">
      <c r="A14" s="4">
        <v>2000</v>
      </c>
      <c r="B14" s="21">
        <v>228918</v>
      </c>
      <c r="D14" s="6">
        <f t="shared" si="0"/>
        <v>1.7163292096936709</v>
      </c>
      <c r="E14" s="21">
        <v>998110</v>
      </c>
      <c r="F14" s="21">
        <v>13337651</v>
      </c>
      <c r="G14" s="6">
        <f t="shared" si="1"/>
        <v>7.4834016874485627</v>
      </c>
      <c r="H14" s="21">
        <v>143976</v>
      </c>
      <c r="J14" s="6">
        <f t="shared" si="2"/>
        <v>1.3781771201117887</v>
      </c>
      <c r="K14" s="21">
        <v>3645705</v>
      </c>
      <c r="L14" s="21">
        <v>10446843</v>
      </c>
      <c r="M14" s="6">
        <f t="shared" si="3"/>
        <v>34.897671956973028</v>
      </c>
      <c r="N14" s="21">
        <v>74841</v>
      </c>
      <c r="P14" s="6">
        <f t="shared" si="4"/>
        <v>0.79775582474421303</v>
      </c>
      <c r="Q14" s="21">
        <v>8030113</v>
      </c>
      <c r="R14" s="21">
        <v>9381442</v>
      </c>
      <c r="S14" s="6">
        <f t="shared" si="5"/>
        <v>85.595721851715339</v>
      </c>
      <c r="V14" s="6">
        <f t="shared" si="6"/>
        <v>0</v>
      </c>
      <c r="W14" s="21">
        <v>7675375</v>
      </c>
      <c r="X14" s="21">
        <v>8496662</v>
      </c>
      <c r="Y14" s="6">
        <f t="shared" si="7"/>
        <v>90.334004106553849</v>
      </c>
      <c r="AB14" s="6">
        <f t="shared" si="8"/>
        <v>0</v>
      </c>
      <c r="AC14" s="21">
        <v>11459042</v>
      </c>
      <c r="AD14" s="21">
        <v>12439177</v>
      </c>
      <c r="AE14" s="6">
        <f t="shared" si="9"/>
        <v>92.120580003001805</v>
      </c>
    </row>
    <row r="15" spans="1:31" x14ac:dyDescent="0.25">
      <c r="A15" s="4">
        <v>2001</v>
      </c>
      <c r="B15" s="21">
        <v>245994</v>
      </c>
      <c r="D15" s="6">
        <f t="shared" si="0"/>
        <v>1.6772457316975471</v>
      </c>
      <c r="E15" s="21">
        <v>1170695</v>
      </c>
      <c r="F15" s="21">
        <v>14666545</v>
      </c>
      <c r="G15" s="6">
        <f t="shared" si="1"/>
        <v>7.982077578598096</v>
      </c>
      <c r="H15" s="21">
        <v>195601</v>
      </c>
      <c r="J15" s="6">
        <f t="shared" si="2"/>
        <v>1.7453630108964169</v>
      </c>
      <c r="K15" s="21">
        <v>3757048</v>
      </c>
      <c r="L15" s="21">
        <v>11206895</v>
      </c>
      <c r="M15" s="6">
        <f t="shared" si="3"/>
        <v>33.524432949536873</v>
      </c>
      <c r="N15" s="21">
        <v>81507</v>
      </c>
      <c r="P15" s="6">
        <f t="shared" si="4"/>
        <v>0.8382948757018317</v>
      </c>
      <c r="Q15" s="21">
        <v>8319292</v>
      </c>
      <c r="R15" s="21">
        <v>9722951</v>
      </c>
      <c r="S15" s="6">
        <f t="shared" si="5"/>
        <v>85.563446735461284</v>
      </c>
      <c r="V15" s="6">
        <f t="shared" si="6"/>
        <v>0</v>
      </c>
      <c r="W15" s="21">
        <v>7602524</v>
      </c>
      <c r="X15" s="21">
        <v>8376312</v>
      </c>
      <c r="Y15" s="6">
        <f t="shared" si="7"/>
        <v>90.762187463886264</v>
      </c>
      <c r="AB15" s="6">
        <f t="shared" si="8"/>
        <v>0</v>
      </c>
      <c r="AC15" s="21">
        <v>14501634</v>
      </c>
      <c r="AD15" s="21">
        <v>15671013</v>
      </c>
      <c r="AE15" s="6">
        <f t="shared" si="9"/>
        <v>92.537948886903493</v>
      </c>
    </row>
    <row r="16" spans="1:31" x14ac:dyDescent="0.25">
      <c r="A16" s="4">
        <v>2002</v>
      </c>
      <c r="B16" s="21">
        <v>251830</v>
      </c>
      <c r="D16" s="6">
        <f t="shared" si="0"/>
        <v>1.6279061499143641</v>
      </c>
      <c r="E16" s="21">
        <v>1148017</v>
      </c>
      <c r="F16" s="21">
        <v>15469565</v>
      </c>
      <c r="G16" s="6">
        <f t="shared" si="1"/>
        <v>7.4211330441418362</v>
      </c>
      <c r="H16" s="21">
        <v>243648</v>
      </c>
      <c r="J16" s="6">
        <f t="shared" si="2"/>
        <v>2.042365881304248</v>
      </c>
      <c r="K16" s="21">
        <v>3754316</v>
      </c>
      <c r="L16" s="21">
        <v>11929694</v>
      </c>
      <c r="M16" s="6">
        <f t="shared" si="3"/>
        <v>31.470346179876866</v>
      </c>
      <c r="N16" s="21">
        <v>84670</v>
      </c>
      <c r="P16" s="6">
        <f t="shared" si="4"/>
        <v>0.89708210457347648</v>
      </c>
      <c r="Q16" s="21">
        <v>7883784</v>
      </c>
      <c r="R16" s="21">
        <v>9438378</v>
      </c>
      <c r="S16" s="6">
        <f t="shared" si="5"/>
        <v>83.529013141876703</v>
      </c>
      <c r="V16" s="6">
        <f t="shared" si="6"/>
        <v>0</v>
      </c>
      <c r="W16" s="21">
        <v>7775531</v>
      </c>
      <c r="X16" s="21">
        <v>8672769</v>
      </c>
      <c r="Y16" s="6">
        <f t="shared" si="7"/>
        <v>89.654538244936532</v>
      </c>
      <c r="AB16" s="6">
        <f t="shared" si="8"/>
        <v>0</v>
      </c>
      <c r="AC16" s="21">
        <v>14732551</v>
      </c>
      <c r="AD16" s="21">
        <v>16122677</v>
      </c>
      <c r="AE16" s="6">
        <f t="shared" si="9"/>
        <v>91.37782143746972</v>
      </c>
    </row>
    <row r="17" spans="1:31" x14ac:dyDescent="0.25">
      <c r="A17" s="4">
        <v>2003</v>
      </c>
      <c r="B17" s="21">
        <v>242712</v>
      </c>
      <c r="D17" s="6">
        <f t="shared" si="0"/>
        <v>1.5021097192648083</v>
      </c>
      <c r="E17" s="21">
        <v>1215497</v>
      </c>
      <c r="F17" s="21">
        <v>16158074</v>
      </c>
      <c r="G17" s="6">
        <f t="shared" si="1"/>
        <v>7.5225364112084154</v>
      </c>
      <c r="H17" s="21">
        <v>210730</v>
      </c>
      <c r="J17" s="6">
        <f t="shared" si="2"/>
        <v>1.7249542342375381</v>
      </c>
      <c r="K17" s="21">
        <v>3769832</v>
      </c>
      <c r="L17" s="21">
        <v>12216556</v>
      </c>
      <c r="M17" s="6">
        <f t="shared" si="3"/>
        <v>30.858385947725363</v>
      </c>
      <c r="N17" s="21">
        <v>77922</v>
      </c>
      <c r="P17" s="6">
        <f t="shared" si="4"/>
        <v>0.79361846101449374</v>
      </c>
      <c r="Q17" s="21">
        <v>8340164</v>
      </c>
      <c r="R17" s="21">
        <v>9818572</v>
      </c>
      <c r="S17" s="6">
        <f t="shared" si="5"/>
        <v>84.942739127441342</v>
      </c>
      <c r="V17" s="6">
        <f t="shared" si="6"/>
        <v>0</v>
      </c>
      <c r="W17" s="21">
        <v>7499757</v>
      </c>
      <c r="X17" s="21">
        <v>8419746</v>
      </c>
      <c r="Y17" s="6">
        <f t="shared" si="7"/>
        <v>89.073435231894166</v>
      </c>
      <c r="AB17" s="6">
        <f t="shared" si="8"/>
        <v>0</v>
      </c>
      <c r="AC17" s="21">
        <v>15042203</v>
      </c>
      <c r="AD17" s="21">
        <v>16420940</v>
      </c>
      <c r="AE17" s="6">
        <f t="shared" si="9"/>
        <v>91.603787602902159</v>
      </c>
    </row>
    <row r="18" spans="1:31" x14ac:dyDescent="0.25">
      <c r="A18" s="4">
        <v>2004</v>
      </c>
      <c r="B18" s="21">
        <v>316071</v>
      </c>
      <c r="D18" s="6">
        <f t="shared" si="0"/>
        <v>1.8846039547758493</v>
      </c>
      <c r="E18" s="21">
        <v>1363821</v>
      </c>
      <c r="F18" s="21">
        <v>16771216</v>
      </c>
      <c r="G18" s="6">
        <f t="shared" si="1"/>
        <v>8.1319148235882235</v>
      </c>
      <c r="H18" s="21">
        <v>227453</v>
      </c>
      <c r="J18" s="6">
        <f t="shared" si="2"/>
        <v>1.7819146935946242</v>
      </c>
      <c r="K18" s="21">
        <v>3874285</v>
      </c>
      <c r="L18" s="21">
        <v>12764528</v>
      </c>
      <c r="M18" s="6">
        <f t="shared" si="3"/>
        <v>30.35196444396534</v>
      </c>
      <c r="N18" s="21">
        <v>55646</v>
      </c>
      <c r="P18" s="6">
        <f t="shared" si="4"/>
        <v>0.54932574179360394</v>
      </c>
      <c r="Q18" s="21">
        <v>8416051</v>
      </c>
      <c r="R18" s="21">
        <v>10129873</v>
      </c>
      <c r="S18" s="6">
        <f t="shared" si="5"/>
        <v>83.081505562804196</v>
      </c>
      <c r="V18" s="6">
        <f t="shared" si="6"/>
        <v>0</v>
      </c>
      <c r="W18" s="21">
        <v>7358327</v>
      </c>
      <c r="X18" s="21">
        <v>8259891</v>
      </c>
      <c r="Y18" s="6">
        <f t="shared" si="7"/>
        <v>89.085037562844349</v>
      </c>
      <c r="AB18" s="6">
        <f t="shared" si="8"/>
        <v>0</v>
      </c>
      <c r="AC18" s="21">
        <v>15258275</v>
      </c>
      <c r="AD18" s="21">
        <v>16819694</v>
      </c>
      <c r="AE18" s="6">
        <f t="shared" si="9"/>
        <v>90.716721719194183</v>
      </c>
    </row>
    <row r="19" spans="1:31" x14ac:dyDescent="0.25">
      <c r="A19" s="4">
        <v>2005</v>
      </c>
      <c r="B19" s="21">
        <v>327746</v>
      </c>
      <c r="D19" s="6">
        <f t="shared" si="0"/>
        <v>1.8384501207950796</v>
      </c>
      <c r="E19" s="21">
        <v>1344540</v>
      </c>
      <c r="F19" s="21">
        <v>17827299</v>
      </c>
      <c r="G19" s="6">
        <f t="shared" si="1"/>
        <v>7.5420286606512859</v>
      </c>
      <c r="H19" s="21">
        <v>251053</v>
      </c>
      <c r="J19" s="6">
        <f t="shared" si="2"/>
        <v>1.9086626323066389</v>
      </c>
      <c r="K19" s="21">
        <v>3927881</v>
      </c>
      <c r="L19" s="21">
        <v>13153346</v>
      </c>
      <c r="M19" s="6">
        <f t="shared" si="3"/>
        <v>29.8622190885878</v>
      </c>
      <c r="N19" s="21">
        <v>88132</v>
      </c>
      <c r="P19" s="6">
        <f t="shared" si="4"/>
        <v>0.86143851591577347</v>
      </c>
      <c r="Q19" s="21">
        <v>8369283</v>
      </c>
      <c r="R19" s="21">
        <v>10230794</v>
      </c>
      <c r="S19" s="6">
        <f t="shared" si="5"/>
        <v>81.804823750727465</v>
      </c>
      <c r="V19" s="6">
        <f t="shared" si="6"/>
        <v>0</v>
      </c>
      <c r="W19" s="21">
        <v>7373721</v>
      </c>
      <c r="X19" s="21">
        <v>8323040</v>
      </c>
      <c r="Y19" s="6">
        <f t="shared" si="7"/>
        <v>88.594083411830297</v>
      </c>
      <c r="AB19" s="6">
        <f t="shared" si="8"/>
        <v>0</v>
      </c>
      <c r="AC19" s="21">
        <v>15436966</v>
      </c>
      <c r="AD19" s="21">
        <v>16950957</v>
      </c>
      <c r="AE19" s="6">
        <f t="shared" si="9"/>
        <v>91.068403984506602</v>
      </c>
    </row>
    <row r="20" spans="1:31" x14ac:dyDescent="0.25">
      <c r="A20" s="4">
        <v>2006</v>
      </c>
      <c r="B20" s="21">
        <v>370627</v>
      </c>
      <c r="D20" s="6">
        <f t="shared" si="0"/>
        <v>2.0340410889175065</v>
      </c>
      <c r="E20" s="21">
        <v>1458326</v>
      </c>
      <c r="F20" s="21">
        <v>18221215</v>
      </c>
      <c r="G20" s="6">
        <f t="shared" si="1"/>
        <v>8.0034509224549524</v>
      </c>
      <c r="H20" s="21">
        <v>268598</v>
      </c>
      <c r="J20" s="6">
        <f t="shared" si="2"/>
        <v>1.9226589984976519</v>
      </c>
      <c r="K20" s="21">
        <v>4066709</v>
      </c>
      <c r="L20" s="21">
        <v>13970132</v>
      </c>
      <c r="M20" s="6">
        <f t="shared" si="3"/>
        <v>29.110025588877757</v>
      </c>
      <c r="N20" s="21">
        <v>79981</v>
      </c>
      <c r="P20" s="6">
        <f t="shared" si="4"/>
        <v>0.75250653613096419</v>
      </c>
      <c r="Q20" s="21">
        <v>8455202</v>
      </c>
      <c r="R20" s="21">
        <v>10628612</v>
      </c>
      <c r="S20" s="6">
        <f t="shared" si="5"/>
        <v>79.551328056758493</v>
      </c>
      <c r="V20" s="6">
        <f t="shared" si="6"/>
        <v>0</v>
      </c>
      <c r="W20" s="21">
        <v>7331770</v>
      </c>
      <c r="X20" s="21">
        <v>8369253</v>
      </c>
      <c r="Y20" s="6">
        <f t="shared" si="7"/>
        <v>87.603636788133898</v>
      </c>
      <c r="AB20" s="6">
        <f t="shared" si="8"/>
        <v>0</v>
      </c>
      <c r="AC20" s="21">
        <v>15336866</v>
      </c>
      <c r="AD20" s="21">
        <v>17037177</v>
      </c>
      <c r="AE20" s="6">
        <f t="shared" si="9"/>
        <v>90.019995683557198</v>
      </c>
    </row>
    <row r="21" spans="1:31" x14ac:dyDescent="0.25">
      <c r="A21" s="4">
        <v>2007</v>
      </c>
      <c r="B21" s="21">
        <v>324770</v>
      </c>
      <c r="D21" s="6">
        <f t="shared" si="0"/>
        <v>1.7678575550013436</v>
      </c>
      <c r="E21" s="21">
        <v>1534214</v>
      </c>
      <c r="F21" s="21">
        <v>18370824</v>
      </c>
      <c r="G21" s="6">
        <f t="shared" si="1"/>
        <v>8.3513619204016099</v>
      </c>
      <c r="H21" s="21">
        <v>278026</v>
      </c>
      <c r="J21" s="6">
        <f t="shared" si="2"/>
        <v>1.8620537416145093</v>
      </c>
      <c r="K21" s="21">
        <v>4074990</v>
      </c>
      <c r="L21" s="21">
        <v>14931148</v>
      </c>
      <c r="M21" s="6">
        <f t="shared" si="3"/>
        <v>27.291873337535733</v>
      </c>
      <c r="N21" s="21">
        <v>91949</v>
      </c>
      <c r="P21" s="6">
        <f t="shared" si="4"/>
        <v>0.82351508181950894</v>
      </c>
      <c r="Q21" s="21">
        <v>8724504</v>
      </c>
      <c r="R21" s="21">
        <v>11165430</v>
      </c>
      <c r="S21" s="6">
        <f t="shared" si="5"/>
        <v>78.138540118920631</v>
      </c>
      <c r="V21" s="6">
        <f t="shared" si="6"/>
        <v>0</v>
      </c>
      <c r="W21" s="21">
        <v>7377418</v>
      </c>
      <c r="X21" s="21">
        <v>8422756</v>
      </c>
      <c r="Y21" s="6">
        <f t="shared" si="7"/>
        <v>87.58912166041614</v>
      </c>
      <c r="AB21" s="6">
        <f t="shared" si="8"/>
        <v>0</v>
      </c>
      <c r="AC21" s="21">
        <v>15453764</v>
      </c>
      <c r="AD21" s="21">
        <v>17201650</v>
      </c>
      <c r="AE21" s="6">
        <f t="shared" si="9"/>
        <v>89.838846854807528</v>
      </c>
    </row>
    <row r="22" spans="1:31" x14ac:dyDescent="0.25">
      <c r="A22" s="4">
        <v>2008</v>
      </c>
      <c r="B22" s="21">
        <v>266387</v>
      </c>
      <c r="D22" s="6">
        <f t="shared" si="0"/>
        <v>1.420368264438556</v>
      </c>
      <c r="E22" s="21">
        <v>1498852</v>
      </c>
      <c r="F22" s="21">
        <v>18754784</v>
      </c>
      <c r="G22" s="6">
        <f t="shared" si="1"/>
        <v>7.9918382424452341</v>
      </c>
      <c r="H22" s="21">
        <v>274353</v>
      </c>
      <c r="J22" s="6">
        <f t="shared" si="2"/>
        <v>1.7660966831927563</v>
      </c>
      <c r="K22" s="21">
        <v>4088753</v>
      </c>
      <c r="L22" s="21">
        <v>15534427</v>
      </c>
      <c r="M22" s="6">
        <f t="shared" si="3"/>
        <v>26.320591033064815</v>
      </c>
      <c r="N22" s="21">
        <v>106551</v>
      </c>
      <c r="P22" s="6">
        <f t="shared" si="4"/>
        <v>0.9010630245175637</v>
      </c>
      <c r="Q22" s="21">
        <v>9242215</v>
      </c>
      <c r="R22" s="21">
        <v>11825033</v>
      </c>
      <c r="S22" s="6">
        <f t="shared" si="5"/>
        <v>78.158048269294468</v>
      </c>
      <c r="V22" s="6">
        <f t="shared" si="6"/>
        <v>0</v>
      </c>
      <c r="W22" s="21">
        <v>7521553</v>
      </c>
      <c r="X22" s="21">
        <v>8578919</v>
      </c>
      <c r="Y22" s="6">
        <f t="shared" si="7"/>
        <v>87.6748340904023</v>
      </c>
      <c r="AB22" s="6">
        <f t="shared" si="8"/>
        <v>0</v>
      </c>
      <c r="AC22" s="21">
        <v>15642418</v>
      </c>
      <c r="AD22" s="21">
        <v>17383781</v>
      </c>
      <c r="AE22" s="6">
        <f t="shared" si="9"/>
        <v>89.982829397125968</v>
      </c>
    </row>
    <row r="23" spans="1:31" x14ac:dyDescent="0.25">
      <c r="A23" s="4">
        <v>2009</v>
      </c>
      <c r="B23" s="21">
        <v>318556</v>
      </c>
      <c r="D23" s="6">
        <f t="shared" si="0"/>
        <v>1.6615517082834368</v>
      </c>
      <c r="E23" s="21">
        <v>1492803</v>
      </c>
      <c r="F23" s="21">
        <v>19172199</v>
      </c>
      <c r="G23" s="6">
        <f t="shared" si="1"/>
        <v>7.7862899294963501</v>
      </c>
      <c r="H23" s="21">
        <v>249236</v>
      </c>
      <c r="J23" s="6">
        <f t="shared" si="2"/>
        <v>1.5363386853934835</v>
      </c>
      <c r="K23" s="21">
        <v>4274308</v>
      </c>
      <c r="L23" s="21">
        <v>16222725</v>
      </c>
      <c r="M23" s="6">
        <f t="shared" si="3"/>
        <v>26.347657375687501</v>
      </c>
      <c r="N23" s="21">
        <v>109006</v>
      </c>
      <c r="P23" s="6">
        <f t="shared" si="4"/>
        <v>0.90641309340596643</v>
      </c>
      <c r="Q23" s="21">
        <v>9273730</v>
      </c>
      <c r="R23" s="21">
        <v>12026084</v>
      </c>
      <c r="S23" s="6">
        <f t="shared" si="5"/>
        <v>77.113464366289136</v>
      </c>
      <c r="V23" s="6">
        <f t="shared" si="6"/>
        <v>0</v>
      </c>
      <c r="W23" s="21">
        <v>7854571</v>
      </c>
      <c r="X23" s="21">
        <v>8926917</v>
      </c>
      <c r="Y23" s="6">
        <f t="shared" si="7"/>
        <v>87.987498931602033</v>
      </c>
      <c r="AB23" s="6">
        <f t="shared" si="8"/>
        <v>0</v>
      </c>
      <c r="AC23" s="21">
        <v>15921586</v>
      </c>
      <c r="AD23" s="21">
        <v>17660320</v>
      </c>
      <c r="AE23" s="6">
        <f t="shared" si="9"/>
        <v>90.154572510577381</v>
      </c>
    </row>
    <row r="24" spans="1:31" x14ac:dyDescent="0.25">
      <c r="A24" s="4">
        <v>2010</v>
      </c>
      <c r="B24" s="21">
        <v>268181</v>
      </c>
      <c r="D24" s="6">
        <f t="shared" si="0"/>
        <v>1.3715094797095038</v>
      </c>
      <c r="E24" s="21">
        <v>1526236</v>
      </c>
      <c r="F24" s="21">
        <v>19553711</v>
      </c>
      <c r="G24" s="6">
        <f t="shared" si="1"/>
        <v>7.8053521400618022</v>
      </c>
      <c r="H24" s="21">
        <v>279571</v>
      </c>
      <c r="J24" s="6">
        <f t="shared" si="2"/>
        <v>1.6039296451287517</v>
      </c>
      <c r="K24" s="21">
        <v>4890116</v>
      </c>
      <c r="L24" s="21">
        <v>17430378</v>
      </c>
      <c r="M24" s="6">
        <f t="shared" si="3"/>
        <v>28.055134547282911</v>
      </c>
      <c r="N24" s="21">
        <v>89764</v>
      </c>
      <c r="P24" s="6">
        <f t="shared" si="4"/>
        <v>0.73817707006432287</v>
      </c>
      <c r="Q24" s="21">
        <v>9091864</v>
      </c>
      <c r="R24" s="21">
        <v>12160226</v>
      </c>
      <c r="S24" s="6">
        <f t="shared" si="5"/>
        <v>74.767228832753602</v>
      </c>
      <c r="V24" s="6">
        <f t="shared" si="6"/>
        <v>0</v>
      </c>
      <c r="W24" s="21">
        <v>8068873</v>
      </c>
      <c r="X24" s="21">
        <v>9254125</v>
      </c>
      <c r="Y24" s="6">
        <f t="shared" si="7"/>
        <v>87.192176461848092</v>
      </c>
      <c r="AB24" s="6">
        <f t="shared" si="8"/>
        <v>0</v>
      </c>
      <c r="AC24" s="21">
        <v>16016497</v>
      </c>
      <c r="AD24" s="21">
        <v>17764384</v>
      </c>
      <c r="AE24" s="6">
        <f t="shared" si="9"/>
        <v>90.160722713492348</v>
      </c>
    </row>
    <row r="25" spans="1:31" x14ac:dyDescent="0.25">
      <c r="A25" s="4">
        <v>2011</v>
      </c>
      <c r="B25" s="21">
        <v>301623</v>
      </c>
      <c r="D25" s="6">
        <f t="shared" si="0"/>
        <v>1.4734672285281365</v>
      </c>
      <c r="E25" s="21">
        <v>1802564</v>
      </c>
      <c r="F25" s="21">
        <v>20470289</v>
      </c>
      <c r="G25" s="6">
        <f t="shared" si="1"/>
        <v>8.8057574565752343</v>
      </c>
      <c r="H25" s="21">
        <v>319680</v>
      </c>
      <c r="J25" s="6">
        <f t="shared" si="2"/>
        <v>1.8266657196590386</v>
      </c>
      <c r="K25" s="21">
        <v>4702909</v>
      </c>
      <c r="L25" s="21">
        <v>17500739</v>
      </c>
      <c r="M25" s="6">
        <f t="shared" si="3"/>
        <v>26.872630921471373</v>
      </c>
      <c r="N25" s="21">
        <v>147981</v>
      </c>
      <c r="P25" s="6">
        <f t="shared" si="4"/>
        <v>1.0881375135336098</v>
      </c>
      <c r="Q25" s="21">
        <v>10311287</v>
      </c>
      <c r="R25" s="21">
        <v>13599476</v>
      </c>
      <c r="S25" s="6">
        <f t="shared" si="5"/>
        <v>75.821208111253696</v>
      </c>
      <c r="V25" s="6">
        <f t="shared" si="6"/>
        <v>0</v>
      </c>
      <c r="W25" s="21">
        <v>8574625</v>
      </c>
      <c r="X25" s="21">
        <v>9783833</v>
      </c>
      <c r="Y25" s="6">
        <f t="shared" si="7"/>
        <v>87.640753884494956</v>
      </c>
      <c r="AB25" s="6">
        <f t="shared" si="8"/>
        <v>0</v>
      </c>
      <c r="AC25" s="21">
        <v>16283418</v>
      </c>
      <c r="AD25" s="21">
        <v>18123442</v>
      </c>
      <c r="AE25" s="6">
        <f t="shared" si="9"/>
        <v>89.847270733671891</v>
      </c>
    </row>
    <row r="26" spans="1:31" x14ac:dyDescent="0.25">
      <c r="A26" s="4">
        <v>2012</v>
      </c>
      <c r="B26" s="21">
        <v>288479</v>
      </c>
      <c r="D26" s="6">
        <f t="shared" si="0"/>
        <v>1.3816136036537792</v>
      </c>
      <c r="E26" s="21">
        <v>1740404</v>
      </c>
      <c r="F26" s="21">
        <v>20879861</v>
      </c>
      <c r="G26" s="6">
        <f t="shared" si="1"/>
        <v>8.3353236882180397</v>
      </c>
      <c r="H26" s="21">
        <v>302155</v>
      </c>
      <c r="J26" s="6">
        <f t="shared" si="2"/>
        <v>1.7157004978770862</v>
      </c>
      <c r="K26" s="21">
        <v>4625054</v>
      </c>
      <c r="L26" s="21">
        <v>17611174</v>
      </c>
      <c r="M26" s="6">
        <f t="shared" si="3"/>
        <v>26.262042496428688</v>
      </c>
      <c r="N26" s="21">
        <v>119270</v>
      </c>
      <c r="P26" s="6">
        <f t="shared" si="4"/>
        <v>0.82611312631212208</v>
      </c>
      <c r="Q26" s="21">
        <v>10668587</v>
      </c>
      <c r="R26" s="21">
        <v>14437490</v>
      </c>
      <c r="S26" s="6">
        <f t="shared" si="5"/>
        <v>73.895026074476931</v>
      </c>
      <c r="V26" s="6">
        <f t="shared" si="6"/>
        <v>0</v>
      </c>
      <c r="W26" s="21">
        <v>9017694</v>
      </c>
      <c r="X26" s="21">
        <v>10264491</v>
      </c>
      <c r="Y26" s="6">
        <f t="shared" si="7"/>
        <v>87.853299301446114</v>
      </c>
      <c r="AB26" s="6">
        <f t="shared" si="8"/>
        <v>0</v>
      </c>
      <c r="AC26" s="21">
        <v>16669006</v>
      </c>
      <c r="AD26" s="21">
        <v>18585453</v>
      </c>
      <c r="AE26" s="6">
        <f t="shared" si="9"/>
        <v>89.688456880765827</v>
      </c>
    </row>
    <row r="27" spans="1:31" x14ac:dyDescent="0.25">
      <c r="A27" s="4">
        <v>2013</v>
      </c>
      <c r="B27" s="21">
        <v>538387</v>
      </c>
      <c r="D27" s="6">
        <f t="shared" si="0"/>
        <v>2.5513174787995987</v>
      </c>
      <c r="E27" s="21">
        <v>1947316</v>
      </c>
      <c r="F27" s="21">
        <v>21102313</v>
      </c>
      <c r="G27" s="6">
        <f t="shared" si="1"/>
        <v>9.2279742035861183</v>
      </c>
      <c r="H27" s="21">
        <v>413819</v>
      </c>
      <c r="J27" s="6">
        <f t="shared" si="2"/>
        <v>2.3049428617086085</v>
      </c>
      <c r="K27" s="21">
        <v>4307712</v>
      </c>
      <c r="L27" s="21">
        <v>17953547</v>
      </c>
      <c r="M27" s="6">
        <f t="shared" si="3"/>
        <v>23.993654290152246</v>
      </c>
      <c r="N27" s="21">
        <v>290432</v>
      </c>
      <c r="P27" s="6">
        <f t="shared" si="4"/>
        <v>1.9012995167997375</v>
      </c>
      <c r="Q27" s="21">
        <v>11218461</v>
      </c>
      <c r="R27" s="21">
        <v>15275447</v>
      </c>
      <c r="S27" s="6">
        <f t="shared" si="5"/>
        <v>73.441130724357848</v>
      </c>
      <c r="V27" s="6">
        <f t="shared" si="6"/>
        <v>0</v>
      </c>
      <c r="W27" s="21">
        <v>9558207</v>
      </c>
      <c r="X27" s="21">
        <v>11019418</v>
      </c>
      <c r="Y27" s="6">
        <f t="shared" si="7"/>
        <v>86.739671732209459</v>
      </c>
      <c r="AB27" s="6">
        <f t="shared" si="8"/>
        <v>0</v>
      </c>
      <c r="AC27" s="21">
        <v>16763853</v>
      </c>
      <c r="AD27" s="21">
        <v>18667974</v>
      </c>
      <c r="AE27" s="6">
        <f t="shared" si="9"/>
        <v>89.800066145367467</v>
      </c>
    </row>
    <row r="28" spans="1:31" x14ac:dyDescent="0.25">
      <c r="A28" s="4">
        <v>2014</v>
      </c>
      <c r="B28" s="21">
        <v>519343</v>
      </c>
      <c r="D28" s="6">
        <f t="shared" si="0"/>
        <v>2.4247232003546815</v>
      </c>
      <c r="E28" s="21">
        <v>1953815</v>
      </c>
      <c r="F28" s="21">
        <v>21418651</v>
      </c>
      <c r="G28" s="6">
        <f t="shared" si="1"/>
        <v>9.1220264058646841</v>
      </c>
      <c r="H28" s="21">
        <v>508831</v>
      </c>
      <c r="J28" s="6">
        <f t="shared" si="2"/>
        <v>2.6782814607577246</v>
      </c>
      <c r="K28" s="21">
        <v>4636281</v>
      </c>
      <c r="L28" s="21">
        <v>18998414</v>
      </c>
      <c r="M28" s="6">
        <f t="shared" si="3"/>
        <v>24.403515998756529</v>
      </c>
      <c r="N28" s="21">
        <v>253544</v>
      </c>
      <c r="P28" s="6">
        <f t="shared" si="4"/>
        <v>1.6120373047802377</v>
      </c>
      <c r="Q28" s="21">
        <v>11357973</v>
      </c>
      <c r="R28" s="21">
        <v>15728172</v>
      </c>
      <c r="S28" s="6">
        <f t="shared" si="5"/>
        <v>72.214196284221714</v>
      </c>
      <c r="V28" s="6">
        <f t="shared" si="6"/>
        <v>0</v>
      </c>
      <c r="W28" s="21">
        <v>9600183</v>
      </c>
      <c r="X28" s="21">
        <v>11209337</v>
      </c>
      <c r="Y28" s="6">
        <f t="shared" si="7"/>
        <v>85.64452117016377</v>
      </c>
      <c r="AB28" s="6">
        <f t="shared" si="8"/>
        <v>0</v>
      </c>
      <c r="AC28" s="21">
        <v>16798281</v>
      </c>
      <c r="AD28" s="21">
        <v>19056454</v>
      </c>
      <c r="AE28" s="6">
        <f t="shared" si="9"/>
        <v>88.150088153861148</v>
      </c>
    </row>
    <row r="29" spans="1:31" x14ac:dyDescent="0.25">
      <c r="A29" s="4">
        <v>2015</v>
      </c>
      <c r="B29" s="21">
        <v>440370</v>
      </c>
      <c r="D29" s="6">
        <f t="shared" si="0"/>
        <v>2.0168128650283816</v>
      </c>
      <c r="E29" s="21">
        <v>1870696</v>
      </c>
      <c r="F29" s="21">
        <v>21834946</v>
      </c>
      <c r="G29" s="6">
        <f t="shared" si="1"/>
        <v>8.567440469053599</v>
      </c>
      <c r="H29" s="21">
        <v>534130</v>
      </c>
      <c r="J29" s="6">
        <f t="shared" si="2"/>
        <v>2.7674845615573478</v>
      </c>
      <c r="K29" s="21">
        <v>4574914</v>
      </c>
      <c r="L29" s="21">
        <v>19300198</v>
      </c>
      <c r="M29" s="6">
        <f t="shared" si="3"/>
        <v>23.703974435909934</v>
      </c>
      <c r="N29" s="21">
        <v>202637</v>
      </c>
      <c r="P29" s="6">
        <f t="shared" si="4"/>
        <v>1.2268348548312724</v>
      </c>
      <c r="Q29" s="21">
        <v>11791770</v>
      </c>
      <c r="R29" s="21">
        <v>16517056</v>
      </c>
      <c r="S29" s="6">
        <f t="shared" si="5"/>
        <v>71.391475575308334</v>
      </c>
      <c r="V29" s="6">
        <f t="shared" si="6"/>
        <v>0</v>
      </c>
      <c r="W29" s="21">
        <v>9819713</v>
      </c>
      <c r="X29" s="21">
        <v>11424876</v>
      </c>
      <c r="Y29" s="6">
        <f t="shared" si="7"/>
        <v>85.950280773288043</v>
      </c>
      <c r="AB29" s="6">
        <f t="shared" si="8"/>
        <v>0</v>
      </c>
      <c r="AC29" s="21">
        <v>17420280</v>
      </c>
      <c r="AD29" s="21">
        <v>19604613</v>
      </c>
      <c r="AE29" s="6">
        <f t="shared" si="9"/>
        <v>88.858066211253444</v>
      </c>
    </row>
    <row r="30" spans="1:31" x14ac:dyDescent="0.25">
      <c r="A30" s="4">
        <v>2016</v>
      </c>
      <c r="B30" s="21">
        <v>587746</v>
      </c>
      <c r="D30" s="6">
        <f t="shared" si="0"/>
        <v>2.6915157579646172</v>
      </c>
      <c r="E30" s="21">
        <v>2043432</v>
      </c>
      <c r="F30" s="21">
        <v>21836989</v>
      </c>
      <c r="G30" s="6">
        <f t="shared" si="1"/>
        <v>9.3576637328525454</v>
      </c>
      <c r="H30" s="21">
        <v>499682</v>
      </c>
      <c r="J30" s="6">
        <f t="shared" si="2"/>
        <v>2.5640784858984205</v>
      </c>
      <c r="K30" s="21">
        <v>4394120</v>
      </c>
      <c r="L30" s="21">
        <v>19487781</v>
      </c>
      <c r="M30" s="6">
        <f t="shared" si="3"/>
        <v>22.548077690322977</v>
      </c>
      <c r="N30" s="21">
        <v>180873</v>
      </c>
      <c r="P30" s="6">
        <f t="shared" si="4"/>
        <v>1.0798097961547302</v>
      </c>
      <c r="Q30" s="21">
        <v>11706379</v>
      </c>
      <c r="R30" s="21">
        <v>16750450</v>
      </c>
      <c r="S30" s="6">
        <f t="shared" si="5"/>
        <v>69.886952290833975</v>
      </c>
      <c r="V30" s="6">
        <f t="shared" si="6"/>
        <v>0</v>
      </c>
      <c r="W30" s="21">
        <v>10771298</v>
      </c>
      <c r="X30" s="21">
        <v>12461562</v>
      </c>
      <c r="Y30" s="6">
        <f t="shared" si="7"/>
        <v>86.436178706971091</v>
      </c>
      <c r="AB30" s="6">
        <f t="shared" si="8"/>
        <v>0</v>
      </c>
      <c r="AC30" s="21">
        <v>17671049</v>
      </c>
      <c r="AD30" s="21">
        <v>20061841</v>
      </c>
      <c r="AE30" s="6">
        <f t="shared" si="9"/>
        <v>88.08288830521586</v>
      </c>
    </row>
    <row r="31" spans="1:31" x14ac:dyDescent="0.25">
      <c r="A31" s="4">
        <v>2017</v>
      </c>
      <c r="B31" s="21">
        <v>505327</v>
      </c>
      <c r="D31" s="6">
        <f t="shared" si="0"/>
        <v>2.3370507551350745</v>
      </c>
      <c r="E31" s="21">
        <v>1961759</v>
      </c>
      <c r="F31" s="21">
        <v>21622423</v>
      </c>
      <c r="G31" s="6">
        <f t="shared" si="1"/>
        <v>9.0727991030422448</v>
      </c>
      <c r="H31" s="21">
        <v>462093</v>
      </c>
      <c r="J31" s="6">
        <f t="shared" si="2"/>
        <v>2.3014979038669536</v>
      </c>
      <c r="K31" s="21">
        <v>4520883</v>
      </c>
      <c r="L31" s="21">
        <v>20077924</v>
      </c>
      <c r="M31" s="6">
        <f t="shared" si="3"/>
        <v>22.516685489993886</v>
      </c>
      <c r="N31" s="21">
        <v>203729</v>
      </c>
      <c r="P31" s="6">
        <f t="shared" si="4"/>
        <v>1.1978862815623388</v>
      </c>
      <c r="Q31" s="21">
        <v>11810338</v>
      </c>
      <c r="R31" s="21">
        <v>17007374</v>
      </c>
      <c r="S31" s="6">
        <f t="shared" si="5"/>
        <v>69.442454784612835</v>
      </c>
      <c r="V31" s="6">
        <f t="shared" si="6"/>
        <v>0</v>
      </c>
      <c r="W31" s="21">
        <v>11445271</v>
      </c>
      <c r="X31" s="21">
        <v>13359472</v>
      </c>
      <c r="Y31" s="6">
        <f t="shared" si="7"/>
        <v>85.671581930782892</v>
      </c>
      <c r="AB31" s="6">
        <f t="shared" si="8"/>
        <v>0</v>
      </c>
      <c r="AC31" s="21">
        <v>18161770</v>
      </c>
      <c r="AD31" s="21">
        <v>20712818</v>
      </c>
      <c r="AE31" s="6">
        <f t="shared" si="9"/>
        <v>87.683723190152108</v>
      </c>
    </row>
    <row r="32" spans="1:31" x14ac:dyDescent="0.25">
      <c r="A32" s="4">
        <v>2018</v>
      </c>
      <c r="B32" s="21">
        <v>432459</v>
      </c>
      <c r="D32" s="6">
        <f t="shared" si="0"/>
        <v>2.0434562681344404</v>
      </c>
      <c r="E32" s="21">
        <v>1899377</v>
      </c>
      <c r="F32" s="21">
        <v>21163115</v>
      </c>
      <c r="G32" s="6">
        <f t="shared" si="1"/>
        <v>8.9749405983003925</v>
      </c>
      <c r="H32" s="21">
        <v>420712</v>
      </c>
      <c r="J32" s="6">
        <f t="shared" si="2"/>
        <v>2.0430487770174204</v>
      </c>
      <c r="K32" s="21">
        <v>4622705</v>
      </c>
      <c r="L32" s="21">
        <v>20592362</v>
      </c>
      <c r="M32" s="6">
        <f t="shared" si="3"/>
        <v>22.448638966234181</v>
      </c>
      <c r="N32" s="21">
        <v>147152</v>
      </c>
      <c r="P32" s="6">
        <f t="shared" si="4"/>
        <v>0.84785714293945402</v>
      </c>
      <c r="Q32" s="21">
        <v>11934841</v>
      </c>
      <c r="R32" s="21">
        <v>17355754</v>
      </c>
      <c r="S32" s="6">
        <f t="shared" si="5"/>
        <v>68.765903227252466</v>
      </c>
      <c r="V32" s="6">
        <f t="shared" si="6"/>
        <v>0</v>
      </c>
      <c r="W32" s="21">
        <v>11983391</v>
      </c>
      <c r="X32" s="21">
        <v>14131265</v>
      </c>
      <c r="Y32" s="6">
        <f t="shared" si="7"/>
        <v>84.800553948991833</v>
      </c>
      <c r="AB32" s="6">
        <f t="shared" si="8"/>
        <v>0</v>
      </c>
      <c r="AC32" s="21">
        <v>18750665</v>
      </c>
      <c r="AD32" s="21">
        <v>21300804</v>
      </c>
      <c r="AE32" s="6">
        <f t="shared" si="9"/>
        <v>88.027968333965234</v>
      </c>
    </row>
    <row r="33" spans="1:31" x14ac:dyDescent="0.25">
      <c r="A33" s="4">
        <v>2019</v>
      </c>
      <c r="B33" s="21">
        <v>432459</v>
      </c>
      <c r="D33" s="6">
        <f t="shared" si="0"/>
        <v>2.0455217863993727</v>
      </c>
      <c r="E33" s="21">
        <v>1794254</v>
      </c>
      <c r="F33" s="21">
        <v>21141745</v>
      </c>
      <c r="G33" s="6">
        <f t="shared" si="1"/>
        <v>8.4867829027357953</v>
      </c>
      <c r="H33" s="21">
        <v>494683</v>
      </c>
      <c r="J33" s="6">
        <f t="shared" si="2"/>
        <v>2.3539967451200594</v>
      </c>
      <c r="K33" s="21">
        <v>4549884</v>
      </c>
      <c r="L33" s="21">
        <v>21014600</v>
      </c>
      <c r="M33" s="6">
        <f t="shared" si="3"/>
        <v>21.651061642857822</v>
      </c>
      <c r="N33" s="21">
        <v>192467</v>
      </c>
      <c r="P33" s="6">
        <f t="shared" si="4"/>
        <v>1.0873827678077028</v>
      </c>
      <c r="Q33" s="21">
        <v>11984758</v>
      </c>
      <c r="R33" s="21">
        <v>17700023</v>
      </c>
      <c r="S33" s="6">
        <f t="shared" si="5"/>
        <v>67.710409189863768</v>
      </c>
      <c r="V33" s="6">
        <f t="shared" si="6"/>
        <v>0</v>
      </c>
      <c r="W33" s="21">
        <v>12478413</v>
      </c>
      <c r="X33" s="21">
        <v>14569220</v>
      </c>
      <c r="Y33" s="6">
        <f t="shared" si="7"/>
        <v>85.649149371071346</v>
      </c>
      <c r="AB33" s="6">
        <f t="shared" si="8"/>
        <v>0</v>
      </c>
      <c r="AC33" s="21">
        <v>19764833</v>
      </c>
      <c r="AD33" s="21">
        <v>22372642</v>
      </c>
      <c r="AE33" s="6">
        <f t="shared" si="9"/>
        <v>88.343759311037118</v>
      </c>
    </row>
    <row r="34" spans="1:31" x14ac:dyDescent="0.25">
      <c r="A34" s="4">
        <v>2020</v>
      </c>
      <c r="B34" s="21">
        <v>407504</v>
      </c>
      <c r="D34" s="6">
        <f t="shared" si="0"/>
        <v>1.9702952024435481</v>
      </c>
      <c r="E34" s="21">
        <v>1678380</v>
      </c>
      <c r="F34" s="21">
        <v>20682383</v>
      </c>
      <c r="G34" s="6">
        <f t="shared" si="1"/>
        <v>8.1150223356757305</v>
      </c>
      <c r="H34" s="21">
        <v>469497</v>
      </c>
      <c r="J34" s="6">
        <f t="shared" si="2"/>
        <v>2.2257057333692738</v>
      </c>
      <c r="K34" s="21">
        <v>4236594</v>
      </c>
      <c r="L34" s="21">
        <v>21094298</v>
      </c>
      <c r="M34" s="6">
        <f t="shared" si="3"/>
        <v>20.084072008464087</v>
      </c>
      <c r="N34" s="21">
        <v>184215</v>
      </c>
      <c r="P34" s="6">
        <f t="shared" si="4"/>
        <v>1.014306503752133</v>
      </c>
      <c r="Q34" s="21">
        <v>12027654</v>
      </c>
      <c r="R34" s="21">
        <v>18161670</v>
      </c>
      <c r="S34" s="6">
        <f t="shared" si="5"/>
        <v>66.225484770948924</v>
      </c>
      <c r="V34" s="6">
        <f t="shared" si="6"/>
        <v>0</v>
      </c>
      <c r="W34" s="21">
        <v>12809495</v>
      </c>
      <c r="X34" s="21">
        <v>14878085</v>
      </c>
      <c r="Y34" s="6">
        <f t="shared" si="7"/>
        <v>86.096396142379888</v>
      </c>
      <c r="AB34" s="6">
        <f t="shared" si="8"/>
        <v>0</v>
      </c>
      <c r="AC34" s="21">
        <v>20168456</v>
      </c>
      <c r="AD34" s="21">
        <v>22796175</v>
      </c>
      <c r="AE34" s="6">
        <f t="shared" si="9"/>
        <v>88.472982857869795</v>
      </c>
    </row>
    <row r="35" spans="1:31" x14ac:dyDescent="0.25">
      <c r="A35" s="4">
        <v>2021</v>
      </c>
      <c r="B35" s="21">
        <v>372390</v>
      </c>
      <c r="D35" s="6">
        <f t="shared" si="0"/>
        <v>1.7729582235738457</v>
      </c>
      <c r="E35" s="21">
        <v>1735075</v>
      </c>
      <c r="F35" s="21">
        <v>21003879</v>
      </c>
      <c r="G35" s="6">
        <f t="shared" si="1"/>
        <v>8.2607360288068694</v>
      </c>
      <c r="H35" s="21">
        <v>434942</v>
      </c>
      <c r="J35" s="6">
        <f t="shared" si="2"/>
        <v>2.0541175838296817</v>
      </c>
      <c r="K35" s="21">
        <v>4034730</v>
      </c>
      <c r="L35" s="21">
        <v>21174153</v>
      </c>
      <c r="M35" s="6">
        <f t="shared" si="3"/>
        <v>19.05497707511606</v>
      </c>
      <c r="N35" s="21">
        <v>188876</v>
      </c>
      <c r="P35" s="6">
        <f t="shared" si="4"/>
        <v>1.0191230446093222</v>
      </c>
      <c r="Q35" s="21">
        <v>12122810</v>
      </c>
      <c r="R35" s="21">
        <v>18533189</v>
      </c>
      <c r="S35" s="6">
        <f t="shared" si="5"/>
        <v>65.41135473231293</v>
      </c>
      <c r="V35" s="6">
        <f t="shared" si="6"/>
        <v>0</v>
      </c>
      <c r="W35" s="21">
        <v>12951917</v>
      </c>
      <c r="X35" s="21">
        <v>15170649</v>
      </c>
      <c r="Y35" s="6">
        <f t="shared" si="7"/>
        <v>85.374837951889859</v>
      </c>
      <c r="AB35" s="6">
        <f t="shared" si="8"/>
        <v>0</v>
      </c>
      <c r="AC35" s="21">
        <v>19941764</v>
      </c>
      <c r="AD35" s="21">
        <v>22489085</v>
      </c>
      <c r="AE35" s="6">
        <f t="shared" si="9"/>
        <v>88.673078517867665</v>
      </c>
    </row>
    <row r="36" spans="1:31" x14ac:dyDescent="0.25">
      <c r="A36" s="4">
        <v>2022</v>
      </c>
      <c r="B36" s="21">
        <v>325407</v>
      </c>
      <c r="D36" s="6">
        <f t="shared" si="0"/>
        <v>1.5967256346577987</v>
      </c>
      <c r="E36" s="21">
        <v>1516961</v>
      </c>
      <c r="F36" s="21">
        <v>20379644</v>
      </c>
      <c r="G36" s="6">
        <f t="shared" si="1"/>
        <v>7.4435107894917101</v>
      </c>
      <c r="H36" s="21">
        <v>444144</v>
      </c>
      <c r="J36" s="6">
        <f t="shared" si="2"/>
        <v>2.1142462421103847</v>
      </c>
      <c r="K36" s="21">
        <v>4431497</v>
      </c>
      <c r="L36" s="21">
        <v>21007203</v>
      </c>
      <c r="M36" s="6">
        <f t="shared" si="3"/>
        <v>21.095131036721071</v>
      </c>
      <c r="N36" s="21">
        <v>276939</v>
      </c>
      <c r="P36" s="6">
        <f t="shared" si="4"/>
        <v>1.5037472731111163</v>
      </c>
      <c r="Q36" s="21">
        <v>11914142</v>
      </c>
      <c r="R36" s="21">
        <v>18416592</v>
      </c>
      <c r="S36" s="6">
        <f t="shared" si="5"/>
        <v>64.692436038111722</v>
      </c>
      <c r="T36" s="21">
        <v>96858</v>
      </c>
      <c r="V36" s="6">
        <f t="shared" si="6"/>
        <v>0.62090825766058011</v>
      </c>
      <c r="W36" s="21">
        <v>13232413</v>
      </c>
      <c r="X36" s="21">
        <v>15599406</v>
      </c>
      <c r="Y36" s="6">
        <f t="shared" si="7"/>
        <v>84.826390184344206</v>
      </c>
      <c r="AB36" s="6">
        <f t="shared" si="8"/>
        <v>0</v>
      </c>
      <c r="AC36" s="21">
        <v>21079937</v>
      </c>
      <c r="AD36" s="21">
        <v>23868237</v>
      </c>
      <c r="AE36" s="6">
        <f t="shared" si="9"/>
        <v>88.317947404326517</v>
      </c>
    </row>
    <row r="37" spans="1:31" x14ac:dyDescent="0.25">
      <c r="A37" s="4">
        <v>2023</v>
      </c>
    </row>
    <row r="38" spans="1:31" x14ac:dyDescent="0.25">
      <c r="A38" s="4">
        <v>2024</v>
      </c>
    </row>
    <row r="41" spans="1:31" x14ac:dyDescent="0.25">
      <c r="A41" s="8" t="s">
        <v>39</v>
      </c>
    </row>
    <row r="42" spans="1:31" x14ac:dyDescent="0.25">
      <c r="A42" s="4" t="s">
        <v>40</v>
      </c>
    </row>
    <row r="43" spans="1:31" x14ac:dyDescent="0.25">
      <c r="A43" s="4" t="s">
        <v>41</v>
      </c>
    </row>
    <row r="44" spans="1:31" x14ac:dyDescent="0.25">
      <c r="A44" s="9" t="s">
        <v>42</v>
      </c>
    </row>
  </sheetData>
  <mergeCells count="6">
    <mergeCell ref="Z1:AE1"/>
    <mergeCell ref="A1:A3"/>
    <mergeCell ref="B1:G1"/>
    <mergeCell ref="H1:M1"/>
    <mergeCell ref="N1:S1"/>
    <mergeCell ref="T1:Y1"/>
  </mergeCells>
  <hyperlinks>
    <hyperlink ref="A44" r:id="rId1" location=" " xr:uid="{1587295F-EF38-4406-AC0A-7A5DE1B6A9EB}"/>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Any retirement income</vt:lpstr>
      <vt:lpstr>Social program receipt</vt:lpstr>
      <vt:lpstr>Census-ACS</vt:lpstr>
      <vt:lpstr>CPS ASEC</vt:lpstr>
    </vt:vector>
  </TitlesOfParts>
  <Company>U.S.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Gallo [ETA]</dc:creator>
  <cp:lastModifiedBy>Gallo, Frank - ETA</cp:lastModifiedBy>
  <dcterms:created xsi:type="dcterms:W3CDTF">2023-07-10T14:15:04Z</dcterms:created>
  <dcterms:modified xsi:type="dcterms:W3CDTF">2024-03-27T13:47:50Z</dcterms:modified>
</cp:coreProperties>
</file>